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羽茜\Desktop\"/>
    </mc:Choice>
  </mc:AlternateContent>
  <xr:revisionPtr revIDLastSave="0" documentId="13_ncr:1_{4B86243B-A490-4C4B-9A2A-92E2B44C4114}" xr6:coauthVersionLast="45" xr6:coauthVersionMax="45" xr10:uidLastSave="{00000000-0000-0000-0000-000000000000}"/>
  <bookViews>
    <workbookView xWindow="-110" yWindow="-110" windowWidth="19420" windowHeight="10420" xr2:uid="{9D0F3CFE-F98E-4CC7-88E1-96841BE44702}"/>
  </bookViews>
  <sheets>
    <sheet name="Sheet1" sheetId="1" r:id="rId1"/>
  </sheets>
  <definedNames>
    <definedName name="_xlnm._FilterDatabase" localSheetId="0" hidden="1">Sheet1!$A$1:$BJ$529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12" i="1" l="1"/>
  <c r="AA512" i="1"/>
  <c r="AD529" i="1"/>
  <c r="AA529" i="1"/>
  <c r="BH426" i="1"/>
  <c r="AQ426" i="1"/>
  <c r="AD426" i="1"/>
  <c r="BH362" i="1"/>
  <c r="AQ362" i="1"/>
  <c r="AD362" i="1"/>
  <c r="BH432" i="1"/>
  <c r="AQ432" i="1"/>
  <c r="AD432" i="1"/>
  <c r="BH501" i="1"/>
  <c r="AQ501" i="1"/>
  <c r="AD501" i="1"/>
  <c r="BH429" i="1"/>
  <c r="AQ429" i="1"/>
  <c r="AD429" i="1"/>
  <c r="BH505" i="1"/>
  <c r="AQ505" i="1"/>
  <c r="AD505" i="1"/>
  <c r="BH365" i="1"/>
  <c r="AQ365" i="1"/>
  <c r="AB365" i="1"/>
  <c r="AD365" i="1" s="1"/>
  <c r="BH494" i="1"/>
  <c r="AQ494" i="1"/>
  <c r="AD494" i="1"/>
  <c r="BH347" i="1"/>
  <c r="AQ347" i="1"/>
  <c r="AD347" i="1"/>
  <c r="BH215" i="1"/>
  <c r="BH40" i="1"/>
  <c r="AQ40" i="1"/>
  <c r="AD40" i="1"/>
  <c r="BH243" i="1"/>
  <c r="AQ243" i="1"/>
  <c r="BH388" i="1"/>
  <c r="AQ388" i="1"/>
  <c r="AD388" i="1"/>
  <c r="BH463" i="1"/>
  <c r="AQ463" i="1"/>
  <c r="AB463" i="1"/>
  <c r="AD463" i="1" s="1"/>
  <c r="BH383" i="1"/>
  <c r="AQ383" i="1"/>
  <c r="AD383" i="1"/>
  <c r="BH163" i="1"/>
  <c r="AQ163" i="1"/>
  <c r="BH108" i="1"/>
  <c r="BH389" i="1"/>
  <c r="AD389" i="1"/>
  <c r="BH179" i="1"/>
  <c r="AD179" i="1"/>
  <c r="BH396" i="1"/>
  <c r="AQ396" i="1"/>
  <c r="BH199" i="1"/>
  <c r="AQ199" i="1"/>
  <c r="AD199" i="1"/>
  <c r="BH385" i="1"/>
  <c r="BH308" i="1"/>
  <c r="AD308" i="1"/>
  <c r="BH380" i="1"/>
  <c r="AQ380" i="1"/>
  <c r="BH485" i="1"/>
  <c r="AQ485" i="1"/>
  <c r="AA485" i="1"/>
  <c r="BH455" i="1"/>
  <c r="AQ455" i="1"/>
  <c r="AD455" i="1"/>
  <c r="BH482" i="1"/>
  <c r="BH217" i="1"/>
  <c r="AQ217" i="1"/>
  <c r="AD217" i="1"/>
  <c r="BH416" i="1"/>
  <c r="AD416" i="1"/>
  <c r="BH247" i="1"/>
  <c r="AD247" i="1"/>
  <c r="BH332" i="1"/>
  <c r="AQ332" i="1"/>
  <c r="AD332" i="1"/>
  <c r="BH244" i="1"/>
  <c r="AQ244" i="1"/>
  <c r="AD244" i="1"/>
  <c r="BH402" i="1"/>
  <c r="AQ402" i="1"/>
  <c r="AD402" i="1"/>
  <c r="BH233" i="1"/>
  <c r="AQ233" i="1"/>
  <c r="AQ528" i="1"/>
  <c r="AB528" i="1"/>
  <c r="AD528" i="1" s="1"/>
  <c r="BH14" i="1"/>
  <c r="AQ14" i="1"/>
  <c r="BH469" i="1"/>
  <c r="AQ469" i="1"/>
  <c r="BH181" i="1"/>
  <c r="BH322" i="1"/>
  <c r="AQ322" i="1"/>
  <c r="AD322" i="1"/>
  <c r="BH213" i="1"/>
  <c r="BH95" i="1"/>
  <c r="AQ95" i="1"/>
  <c r="AD95" i="1"/>
  <c r="BH232" i="1"/>
  <c r="AQ232" i="1"/>
  <c r="AD232" i="1"/>
  <c r="BH520" i="1"/>
  <c r="AQ520" i="1"/>
  <c r="AD520" i="1"/>
  <c r="AA520" i="1"/>
  <c r="BH239" i="1"/>
  <c r="AQ239" i="1"/>
  <c r="BH6" i="1"/>
  <c r="AQ6" i="1"/>
  <c r="BH3" i="1"/>
  <c r="AD3" i="1"/>
  <c r="BH519" i="1"/>
  <c r="AQ519" i="1"/>
  <c r="AA519" i="1"/>
  <c r="BH98" i="1"/>
  <c r="BH422" i="1"/>
  <c r="AQ422" i="1"/>
  <c r="AB422" i="1"/>
  <c r="AD422" i="1" s="1"/>
  <c r="AA422" i="1"/>
  <c r="BH513" i="1"/>
  <c r="AQ513" i="1"/>
  <c r="AD513" i="1"/>
  <c r="BH140" i="1"/>
  <c r="AQ140" i="1"/>
  <c r="AD140" i="1"/>
  <c r="BH130" i="1"/>
  <c r="BH93" i="1"/>
  <c r="BH236" i="1"/>
  <c r="AQ236" i="1"/>
  <c r="AD236" i="1"/>
  <c r="BH102" i="1"/>
  <c r="AQ102" i="1"/>
  <c r="AD102" i="1"/>
  <c r="BH360" i="1"/>
  <c r="AQ360" i="1"/>
  <c r="AD360" i="1"/>
  <c r="AA360" i="1"/>
  <c r="BH467" i="1"/>
  <c r="AQ467" i="1"/>
  <c r="AD467" i="1"/>
  <c r="AA467" i="1"/>
  <c r="BH212" i="1"/>
  <c r="AQ212" i="1"/>
  <c r="BH375" i="1"/>
  <c r="AQ375" i="1"/>
  <c r="AD375" i="1"/>
  <c r="BH209" i="1"/>
  <c r="AD209" i="1"/>
  <c r="BH190" i="1"/>
  <c r="AQ190" i="1"/>
  <c r="AD190" i="1"/>
  <c r="BH287" i="1"/>
  <c r="AQ287" i="1"/>
  <c r="AD287" i="1"/>
  <c r="BH152" i="1"/>
  <c r="BH473" i="1"/>
  <c r="BH327" i="1"/>
  <c r="AQ327" i="1"/>
  <c r="BH500" i="1"/>
  <c r="AQ500" i="1"/>
  <c r="BH117" i="1"/>
  <c r="AQ117" i="1"/>
  <c r="BH522" i="1"/>
  <c r="BH160" i="1"/>
  <c r="BH386" i="1"/>
  <c r="AQ386" i="1"/>
  <c r="AB386" i="1"/>
  <c r="AD386" i="1" s="1"/>
  <c r="AA386" i="1"/>
  <c r="BH183" i="1"/>
  <c r="AQ183" i="1"/>
  <c r="AD183" i="1"/>
  <c r="BH296" i="1"/>
  <c r="AQ296" i="1"/>
  <c r="AD296" i="1"/>
  <c r="BH121" i="1"/>
  <c r="AQ121" i="1"/>
  <c r="AD121" i="1"/>
  <c r="BH156" i="1"/>
  <c r="AQ156" i="1"/>
  <c r="BH304" i="1"/>
  <c r="AQ304" i="1"/>
  <c r="AD304" i="1"/>
  <c r="BH323" i="1"/>
  <c r="AQ323" i="1"/>
  <c r="BH122" i="1"/>
  <c r="AQ122" i="1"/>
  <c r="AD122" i="1"/>
  <c r="BH241" i="1"/>
  <c r="AD241" i="1"/>
  <c r="BH23" i="1"/>
  <c r="AQ23" i="1"/>
  <c r="AD23" i="1"/>
  <c r="BH414" i="1"/>
  <c r="AQ414" i="1"/>
  <c r="AD414" i="1"/>
  <c r="BH462" i="1"/>
  <c r="BH39" i="1"/>
  <c r="AD39" i="1"/>
  <c r="BH44" i="1"/>
  <c r="BH220" i="1"/>
  <c r="AQ220" i="1"/>
  <c r="BH317" i="1"/>
  <c r="AD317" i="1"/>
  <c r="BH86" i="1"/>
  <c r="AD86" i="1"/>
  <c r="BH71" i="1"/>
  <c r="AD71" i="1"/>
  <c r="BH502" i="1"/>
  <c r="BH399" i="1"/>
  <c r="AQ399" i="1"/>
  <c r="AD399" i="1"/>
  <c r="BH78" i="1"/>
  <c r="AQ78" i="1"/>
  <c r="AD78" i="1"/>
  <c r="BH290" i="1"/>
  <c r="AD290" i="1"/>
  <c r="BH26" i="1"/>
  <c r="AB26" i="1"/>
  <c r="AD26" i="1" s="1"/>
  <c r="BH249" i="1"/>
  <c r="BH278" i="1"/>
  <c r="BH137" i="1"/>
  <c r="AQ137" i="1"/>
  <c r="AD137" i="1"/>
  <c r="BH393" i="1"/>
  <c r="AQ393" i="1"/>
  <c r="AD393" i="1"/>
  <c r="BH398" i="1"/>
  <c r="AQ398" i="1"/>
  <c r="AD398" i="1"/>
  <c r="BH395" i="1"/>
  <c r="AQ395" i="1"/>
  <c r="BH476" i="1"/>
  <c r="BH22" i="1"/>
  <c r="AQ22" i="1"/>
  <c r="AD22" i="1"/>
  <c r="BH406" i="1"/>
  <c r="AQ406" i="1"/>
  <c r="AD406" i="1"/>
  <c r="BH76" i="1"/>
  <c r="AD76" i="1"/>
  <c r="BH54" i="1"/>
  <c r="AQ54" i="1"/>
  <c r="BH216" i="1"/>
  <c r="AD216" i="1"/>
  <c r="BH114" i="1"/>
  <c r="AQ114" i="1"/>
  <c r="BH188" i="1"/>
  <c r="AQ188" i="1"/>
  <c r="AD188" i="1"/>
  <c r="BH475" i="1"/>
  <c r="AQ475" i="1"/>
  <c r="BH279" i="1"/>
  <c r="AD279" i="1"/>
  <c r="BH32" i="1"/>
  <c r="BH124" i="1"/>
  <c r="AD124" i="1"/>
  <c r="BH75" i="1"/>
  <c r="AD75" i="1"/>
  <c r="BH237" i="1"/>
  <c r="AQ237" i="1"/>
  <c r="BH521" i="1"/>
  <c r="AQ521" i="1"/>
  <c r="AD521" i="1"/>
  <c r="BH191" i="1"/>
  <c r="AD191" i="1"/>
  <c r="BH286" i="1"/>
  <c r="AQ286" i="1"/>
  <c r="BH309" i="1"/>
  <c r="AQ309" i="1"/>
  <c r="AD309" i="1"/>
  <c r="BH510" i="1"/>
  <c r="BH225" i="1"/>
  <c r="AQ225" i="1"/>
  <c r="AD225" i="1"/>
  <c r="BH63" i="1"/>
  <c r="AQ63" i="1"/>
  <c r="BH48" i="1"/>
  <c r="BH391" i="1"/>
  <c r="AQ391" i="1"/>
  <c r="BH97" i="1"/>
  <c r="BH250" i="1"/>
  <c r="AD250" i="1"/>
  <c r="BH132" i="1"/>
  <c r="AD132" i="1"/>
  <c r="BH353" i="1"/>
  <c r="AD353" i="1"/>
  <c r="BH53" i="1"/>
  <c r="BH197" i="1"/>
  <c r="BH456" i="1"/>
  <c r="BH94" i="1"/>
  <c r="AQ94" i="1"/>
  <c r="BH280" i="1"/>
  <c r="AQ280" i="1"/>
  <c r="AD280" i="1"/>
  <c r="BH49" i="1"/>
  <c r="AQ49" i="1"/>
  <c r="AD49" i="1"/>
  <c r="BH60" i="1"/>
  <c r="AQ60" i="1"/>
  <c r="AD60" i="1"/>
  <c r="BH29" i="1"/>
  <c r="AQ29" i="1"/>
  <c r="AD29" i="1"/>
  <c r="BH265" i="1"/>
  <c r="AD265" i="1"/>
  <c r="BH412" i="1"/>
  <c r="AQ412" i="1"/>
  <c r="AD412" i="1"/>
  <c r="BH62" i="1"/>
  <c r="BH448" i="1"/>
  <c r="AQ448" i="1"/>
  <c r="AD448" i="1"/>
  <c r="BH138" i="1"/>
  <c r="BH524" i="1"/>
  <c r="BH487" i="1"/>
  <c r="AQ487" i="1"/>
  <c r="BH228" i="1"/>
  <c r="AQ228" i="1"/>
  <c r="AD228" i="1"/>
  <c r="BH352" i="1"/>
  <c r="AQ352" i="1"/>
  <c r="BH357" i="1"/>
  <c r="AQ357" i="1"/>
  <c r="AD357" i="1"/>
  <c r="BH41" i="1"/>
  <c r="BH100" i="1"/>
  <c r="AQ100" i="1"/>
  <c r="AD100" i="1"/>
  <c r="BH180" i="1"/>
  <c r="AD180" i="1"/>
  <c r="BH50" i="1"/>
  <c r="BH153" i="1"/>
  <c r="AD153" i="1"/>
  <c r="BH20" i="1"/>
  <c r="AD20" i="1"/>
  <c r="AA20" i="1"/>
  <c r="BH454" i="1"/>
  <c r="AD454" i="1"/>
  <c r="BH240" i="1"/>
  <c r="AQ240" i="1"/>
  <c r="BH372" i="1"/>
  <c r="AQ372" i="1"/>
  <c r="AC372" i="1"/>
  <c r="AD372" i="1" s="1"/>
  <c r="BH449" i="1"/>
  <c r="BH358" i="1"/>
  <c r="AA358" i="1"/>
  <c r="BH382" i="1"/>
  <c r="AQ382" i="1"/>
  <c r="AD382" i="1"/>
  <c r="BH384" i="1"/>
  <c r="AA384" i="1"/>
  <c r="BH12" i="1"/>
  <c r="BH430" i="1"/>
  <c r="AD430" i="1"/>
  <c r="BH478" i="1"/>
  <c r="BH142" i="1"/>
  <c r="AQ142" i="1"/>
  <c r="AC142" i="1"/>
  <c r="AD142" i="1" s="1"/>
  <c r="BH336" i="1"/>
  <c r="AQ336" i="1"/>
  <c r="AD336" i="1"/>
  <c r="BH488" i="1"/>
  <c r="AQ488" i="1"/>
  <c r="AD488" i="1"/>
  <c r="BH112" i="1"/>
  <c r="BH446" i="1"/>
  <c r="AD446" i="1"/>
  <c r="BH256" i="1"/>
  <c r="AD256" i="1"/>
  <c r="BH263" i="1"/>
  <c r="BH495" i="1"/>
  <c r="AQ495" i="1"/>
  <c r="AD495" i="1"/>
  <c r="AD272" i="1"/>
  <c r="BH195" i="1"/>
  <c r="BH84" i="1"/>
  <c r="AQ72" i="1"/>
  <c r="AD320" i="1"/>
  <c r="AQ13" i="1"/>
  <c r="AD13" i="1"/>
  <c r="BH466" i="1"/>
  <c r="AD466" i="1"/>
  <c r="AD59" i="1"/>
  <c r="AD484" i="1"/>
  <c r="AD219" i="1"/>
  <c r="BH491" i="1"/>
  <c r="AQ491" i="1"/>
  <c r="AQ423" i="1"/>
  <c r="AD423" i="1"/>
  <c r="AQ453" i="1"/>
  <c r="AD453" i="1"/>
  <c r="BH443" i="1"/>
  <c r="AD443" i="1"/>
  <c r="AD379" i="1"/>
  <c r="AQ11" i="1"/>
  <c r="AQ149" i="1"/>
  <c r="AQ405" i="1"/>
  <c r="AD143" i="1"/>
  <c r="AQ325" i="1"/>
  <c r="AD211" i="1"/>
  <c r="AC428" i="1"/>
  <c r="AD428" i="1" s="1"/>
  <c r="AD288" i="1"/>
  <c r="AQ24" i="1"/>
  <c r="AD24" i="1"/>
  <c r="AQ145" i="1"/>
  <c r="AD145" i="1"/>
  <c r="AQ120" i="1"/>
  <c r="AQ141" i="1"/>
  <c r="AQ136" i="1"/>
  <c r="AD37" i="1"/>
  <c r="AQ210" i="1"/>
  <c r="AD210" i="1"/>
  <c r="AQ509" i="1"/>
  <c r="AD509" i="1"/>
  <c r="AQ25" i="1"/>
  <c r="AD218" i="1"/>
  <c r="AD55" i="1"/>
  <c r="AQ378" i="1"/>
  <c r="AQ421" i="1"/>
  <c r="AQ33" i="1"/>
  <c r="AD33" i="1"/>
  <c r="AQ252" i="1"/>
  <c r="AD252" i="1"/>
  <c r="AQ335" i="1"/>
  <c r="AD335" i="1"/>
  <c r="AQ221" i="1"/>
  <c r="AQ171" i="1"/>
  <c r="AQ173" i="1"/>
  <c r="AQ198" i="1"/>
  <c r="AQ435" i="1"/>
  <c r="AD435" i="1"/>
  <c r="AQ81" i="1"/>
  <c r="AQ67" i="1"/>
  <c r="AQ499" i="1"/>
  <c r="AD499" i="1"/>
  <c r="AD361" i="1"/>
  <c r="AD275" i="1"/>
  <c r="AQ363" i="1"/>
  <c r="AQ404" i="1"/>
  <c r="AD404" i="1"/>
  <c r="AQ340" i="1"/>
  <c r="AD340" i="1"/>
  <c r="AQ182" i="1"/>
  <c r="AQ472" i="1"/>
  <c r="AQ178" i="1"/>
  <c r="AD178" i="1"/>
  <c r="AQ144" i="1"/>
  <c r="AQ238" i="1"/>
  <c r="AD238" i="1"/>
  <c r="AD468" i="1"/>
  <c r="AQ514" i="1"/>
  <c r="AD514" i="1"/>
  <c r="AQ305" i="1"/>
  <c r="AQ452" i="1"/>
  <c r="AD452" i="1"/>
  <c r="AQ134" i="1"/>
  <c r="AQ135" i="1"/>
  <c r="AD214" i="1"/>
  <c r="AD90" i="1"/>
  <c r="AQ518" i="1"/>
  <c r="AQ80" i="1"/>
  <c r="AQ222" i="1"/>
  <c r="AD222" i="1"/>
  <c r="AQ345" i="1"/>
  <c r="AQ264" i="1"/>
  <c r="AQ46" i="1"/>
  <c r="AD46" i="1"/>
  <c r="AQ373" i="1"/>
  <c r="AQ329" i="1"/>
  <c r="AD329" i="1"/>
  <c r="AQ129" i="1"/>
  <c r="AD269" i="1"/>
  <c r="AD187" i="1"/>
  <c r="AQ479" i="1"/>
  <c r="AD479" i="1"/>
  <c r="AQ460" i="1"/>
  <c r="AD460" i="1"/>
  <c r="AD330" i="1"/>
  <c r="AQ333" i="1"/>
  <c r="AQ234" i="1"/>
  <c r="AD445" i="1"/>
  <c r="AQ394" i="1"/>
  <c r="AD394" i="1"/>
  <c r="AQ346" i="1"/>
  <c r="AD346" i="1"/>
  <c r="AQ477" i="1"/>
  <c r="AD477" i="1"/>
  <c r="AQ523" i="1"/>
  <c r="AD523" i="1"/>
  <c r="AQ161" i="1"/>
  <c r="AD161" i="1"/>
  <c r="AQ139" i="1"/>
  <c r="AD408" i="1"/>
  <c r="AD68" i="1"/>
  <c r="AQ104" i="1"/>
  <c r="AD104" i="1"/>
  <c r="AQ164" i="1"/>
  <c r="AD498" i="1"/>
  <c r="AD43" i="1"/>
  <c r="AD245" i="1"/>
  <c r="AQ300" i="1"/>
  <c r="AQ299" i="1"/>
  <c r="AQ159" i="1"/>
  <c r="AQ35" i="1"/>
  <c r="AQ292" i="1"/>
  <c r="AD292" i="1"/>
  <c r="AQ5" i="1"/>
  <c r="AD5" i="1"/>
  <c r="AQ262" i="1"/>
  <c r="AD262" i="1"/>
  <c r="AQ268" i="1"/>
  <c r="AD268" i="1"/>
  <c r="AQ515" i="1"/>
  <c r="AD515" i="1"/>
  <c r="AD437" i="1"/>
  <c r="AQ411" i="1"/>
  <c r="AD411" i="1"/>
  <c r="AD176" i="1"/>
  <c r="AQ439" i="1"/>
  <c r="AD439" i="1"/>
  <c r="AD223" i="1"/>
  <c r="AD242" i="1"/>
  <c r="AQ349" i="1"/>
  <c r="AD349" i="1"/>
  <c r="AQ73" i="1"/>
  <c r="AQ392" i="1"/>
  <c r="AD392" i="1"/>
  <c r="AD17" i="1"/>
  <c r="AQ301" i="1"/>
  <c r="AD301" i="1"/>
  <c r="AD276" i="1"/>
  <c r="AQ464" i="1"/>
  <c r="AD464" i="1"/>
  <c r="AD341" i="1"/>
  <c r="AQ4" i="1"/>
  <c r="AD4" i="1"/>
  <c r="BH350" i="1"/>
  <c r="AQ350" i="1"/>
  <c r="AD350" i="1"/>
  <c r="AQ447" i="1"/>
  <c r="AD457" i="1"/>
  <c r="AQ338" i="1"/>
  <c r="AD207" i="1"/>
  <c r="AQ174" i="1"/>
  <c r="AQ420" i="1"/>
  <c r="AD420" i="1"/>
  <c r="AD70" i="1"/>
  <c r="AQ127" i="1"/>
  <c r="AQ224" i="1"/>
  <c r="AQ273" i="1"/>
  <c r="AD273" i="1"/>
  <c r="AQ343" i="1"/>
  <c r="AQ489" i="1"/>
  <c r="AQ474" i="1"/>
  <c r="AQ436" i="1"/>
  <c r="AD436" i="1"/>
  <c r="AQ271" i="1"/>
  <c r="AD271" i="1"/>
  <c r="AQ270" i="1"/>
  <c r="AB270" i="1"/>
  <c r="AD270" i="1" s="1"/>
  <c r="AD409" i="1"/>
  <c r="AQ58" i="1"/>
  <c r="AQ91" i="1"/>
  <c r="AD91" i="1"/>
  <c r="AD101" i="1"/>
  <c r="AQ260" i="1"/>
  <c r="AQ65" i="1"/>
  <c r="AD65" i="1"/>
  <c r="AQ170" i="1"/>
  <c r="AQ444" i="1"/>
  <c r="AD444" i="1"/>
  <c r="AQ92" i="1"/>
  <c r="AQ202" i="1"/>
  <c r="AD202" i="1"/>
  <c r="AQ226" i="1"/>
  <c r="AQ417" i="1"/>
  <c r="AQ381" i="1"/>
  <c r="AD381" i="1"/>
  <c r="AQ427" i="1"/>
  <c r="AD427" i="1"/>
  <c r="AQ508" i="1"/>
  <c r="AD508" i="1"/>
  <c r="AQ342" i="1"/>
  <c r="AQ205" i="1"/>
  <c r="AQ261" i="1"/>
  <c r="AQ204" i="1"/>
  <c r="AQ69" i="1"/>
  <c r="AD69" i="1"/>
  <c r="BH235" i="1"/>
  <c r="AQ235" i="1"/>
  <c r="AQ167" i="1"/>
  <c r="AQ359" i="1"/>
  <c r="AQ326" i="1"/>
  <c r="AQ465" i="1"/>
  <c r="AD465" i="1"/>
  <c r="AQ294" i="1"/>
  <c r="AQ367" i="1"/>
  <c r="AD367" i="1"/>
  <c r="AQ259" i="1"/>
  <c r="AD259" i="1"/>
  <c r="AQ351" i="1"/>
  <c r="AD351" i="1"/>
  <c r="AD424" i="1"/>
  <c r="AQ387" i="1"/>
  <c r="AD387" i="1"/>
  <c r="AQ459" i="1"/>
  <c r="AD459" i="1"/>
  <c r="AQ77" i="1"/>
  <c r="AD77" i="1"/>
  <c r="AQ146" i="1"/>
  <c r="AD103" i="1"/>
  <c r="AQ458" i="1"/>
  <c r="AD458" i="1"/>
  <c r="AQ192" i="1"/>
  <c r="AD192" i="1"/>
  <c r="AQ486" i="1"/>
  <c r="AD486" i="1"/>
  <c r="AQ291" i="1"/>
  <c r="AQ293" i="1"/>
  <c r="AD481" i="1"/>
  <c r="AQ10" i="1"/>
  <c r="AD10" i="1"/>
  <c r="AD282" i="1"/>
  <c r="AQ356" i="1"/>
  <c r="AD356" i="1"/>
  <c r="AQ201" i="1"/>
  <c r="AQ110" i="1"/>
  <c r="AD110" i="1"/>
  <c r="AQ289" i="1"/>
  <c r="AD289" i="1"/>
  <c r="AQ504" i="1"/>
  <c r="AD504" i="1"/>
  <c r="AQ433" i="1"/>
  <c r="AD433" i="1"/>
  <c r="AQ471" i="1"/>
  <c r="AD471" i="1"/>
  <c r="BH267" i="1"/>
  <c r="AQ267" i="1"/>
  <c r="AA480" i="1"/>
  <c r="AQ88" i="1"/>
  <c r="AD88" i="1"/>
  <c r="AQ28" i="1"/>
  <c r="AD316" i="1"/>
  <c r="AQ493" i="1"/>
  <c r="AD493" i="1"/>
  <c r="AQ113" i="1"/>
  <c r="AD113" i="1"/>
  <c r="AQ401" i="1"/>
  <c r="AD401" i="1"/>
  <c r="AQ19" i="1"/>
  <c r="AQ434" i="1"/>
  <c r="AD434" i="1"/>
  <c r="AQ158" i="1"/>
  <c r="AD158" i="1"/>
  <c r="AQ61" i="1"/>
  <c r="AD61" i="1"/>
  <c r="AQ390" i="1"/>
  <c r="AD390" i="1"/>
  <c r="AQ441" i="1"/>
  <c r="AD441" i="1"/>
  <c r="AQ277" i="1"/>
  <c r="AD277" i="1"/>
  <c r="AQ131" i="1"/>
  <c r="AQ85" i="1"/>
  <c r="AD85" i="1"/>
  <c r="AQ79" i="1"/>
  <c r="AD79" i="1"/>
  <c r="AQ483" i="1"/>
  <c r="AQ295" i="1"/>
  <c r="AD295" i="1"/>
  <c r="AQ413" i="1"/>
  <c r="AD413" i="1"/>
  <c r="AQ281" i="1"/>
  <c r="AQ503" i="1"/>
  <c r="AD503" i="1"/>
  <c r="AD172" i="1"/>
  <c r="AQ125" i="1"/>
  <c r="BH258" i="1"/>
  <c r="AD258" i="1"/>
  <c r="AQ492" i="1"/>
  <c r="AD492" i="1"/>
  <c r="AQ248" i="1"/>
  <c r="AD248" i="1"/>
  <c r="AQ511" i="1"/>
  <c r="AD511" i="1"/>
  <c r="AQ419" i="1"/>
  <c r="AD419" i="1"/>
  <c r="AQ302" i="1"/>
  <c r="AD302" i="1"/>
  <c r="AQ425" i="1"/>
  <c r="AD425" i="1"/>
  <c r="AQ56" i="1"/>
  <c r="AD56" i="1"/>
  <c r="AQ525" i="1"/>
  <c r="AQ374" i="1"/>
  <c r="AD109" i="1"/>
  <c r="AQ507" i="1"/>
  <c r="AD507" i="1"/>
  <c r="AD506" i="1"/>
  <c r="AD283" i="1"/>
  <c r="AQ366" i="1"/>
  <c r="AQ82" i="1"/>
  <c r="AD82" i="1"/>
  <c r="AQ470" i="1"/>
  <c r="AD470" i="1"/>
  <c r="AQ440" i="1"/>
  <c r="AD440" i="1"/>
  <c r="AQ451" i="1"/>
  <c r="AD451" i="1"/>
  <c r="AQ31" i="1"/>
  <c r="AD31" i="1"/>
  <c r="AD36" i="1"/>
  <c r="AQ52" i="1"/>
  <c r="AD52" i="1"/>
  <c r="AQ89" i="1"/>
  <c r="AD89" i="1"/>
  <c r="AQ516" i="1"/>
  <c r="AD516" i="1"/>
  <c r="AD318" i="1"/>
  <c r="AQ442" i="1"/>
  <c r="AD442" i="1"/>
  <c r="AQ162" i="1"/>
  <c r="AD162" i="1"/>
  <c r="AQ229" i="1"/>
  <c r="AD229" i="1"/>
  <c r="AQ21" i="1"/>
  <c r="AD21" i="1"/>
  <c r="AQ337" i="1"/>
  <c r="AD337" i="1"/>
  <c r="AQ298" i="1"/>
  <c r="AQ193" i="1"/>
  <c r="AD193" i="1"/>
  <c r="AQ206" i="1"/>
  <c r="AD206" i="1"/>
  <c r="AD355" i="1"/>
  <c r="AD27" i="1"/>
  <c r="AQ431" i="1"/>
  <c r="AD431" i="1"/>
  <c r="AQ370" i="1"/>
  <c r="AD370" i="1"/>
  <c r="AQ118" i="1"/>
  <c r="AD118" i="1"/>
  <c r="AQ74" i="1"/>
  <c r="AD74" i="1"/>
  <c r="AQ324" i="1"/>
  <c r="AD324" i="1"/>
  <c r="AD403" i="1"/>
  <c r="AQ157" i="1"/>
  <c r="AD157" i="1"/>
  <c r="AQ208" i="1"/>
  <c r="AD208" i="1"/>
  <c r="AD126" i="1"/>
  <c r="AQ310" i="1"/>
  <c r="AD364" i="1"/>
  <c r="AQ266" i="1"/>
  <c r="AD266" i="1"/>
  <c r="AQ354" i="1"/>
  <c r="AD354" i="1"/>
  <c r="AQ319" i="1"/>
  <c r="AD319" i="1"/>
  <c r="AQ51" i="1"/>
  <c r="AD51" i="1"/>
  <c r="AQ376" i="1"/>
  <c r="AD376" i="1"/>
  <c r="AD227" i="1"/>
  <c r="AQ415" i="1"/>
  <c r="AD415" i="1"/>
  <c r="AQ314" i="1"/>
  <c r="AD314" i="1"/>
  <c r="AQ526" i="1"/>
  <c r="AD526" i="1"/>
  <c r="AQ490" i="1"/>
  <c r="AD490" i="1"/>
  <c r="AQ410" i="1"/>
  <c r="AD410" i="1"/>
  <c r="AQ47" i="1"/>
  <c r="AD344" i="1"/>
  <c r="AQ334" i="1"/>
  <c r="AD334" i="1"/>
  <c r="BH166" i="1"/>
  <c r="AD166" i="1"/>
  <c r="AQ184" i="1"/>
  <c r="AD184" i="1"/>
  <c r="AQ42" i="1"/>
  <c r="AQ438" i="1"/>
  <c r="AD438" i="1"/>
  <c r="AQ371" i="1"/>
  <c r="AD371" i="1"/>
  <c r="AQ321" i="1"/>
  <c r="AD321" i="1"/>
  <c r="AD16" i="1"/>
</calcChain>
</file>

<file path=xl/sharedStrings.xml><?xml version="1.0" encoding="utf-8"?>
<sst xmlns="http://schemas.openxmlformats.org/spreadsheetml/2006/main" count="1682" uniqueCount="198">
  <si>
    <t>department</t>
  </si>
  <si>
    <t>age</t>
  </si>
  <si>
    <t>cough</t>
    <phoneticPr fontId="1" type="noConversion"/>
  </si>
  <si>
    <t>expectoration</t>
    <phoneticPr fontId="1" type="noConversion"/>
  </si>
  <si>
    <t>wheeze</t>
    <phoneticPr fontId="1" type="noConversion"/>
  </si>
  <si>
    <t>fever</t>
    <phoneticPr fontId="1" type="noConversion"/>
  </si>
  <si>
    <t>hypertension</t>
    <phoneticPr fontId="1" type="noConversion"/>
  </si>
  <si>
    <t>DM</t>
    <phoneticPr fontId="1" type="noConversion"/>
  </si>
  <si>
    <t>asthma</t>
    <phoneticPr fontId="1" type="noConversion"/>
  </si>
  <si>
    <t>copd</t>
    <phoneticPr fontId="1" type="noConversion"/>
  </si>
  <si>
    <t>heartfailure</t>
    <phoneticPr fontId="1" type="noConversion"/>
  </si>
  <si>
    <t>CHD</t>
    <phoneticPr fontId="1" type="noConversion"/>
  </si>
  <si>
    <t>liver</t>
    <phoneticPr fontId="1" type="noConversion"/>
  </si>
  <si>
    <t>renal</t>
    <phoneticPr fontId="1" type="noConversion"/>
  </si>
  <si>
    <t>tumer</t>
    <phoneticPr fontId="1" type="noConversion"/>
  </si>
  <si>
    <t>lymphocyte</t>
    <phoneticPr fontId="1" type="noConversion"/>
  </si>
  <si>
    <t>PO2</t>
    <phoneticPr fontId="1" type="noConversion"/>
  </si>
  <si>
    <t>oxygen</t>
    <phoneticPr fontId="1" type="noConversion"/>
  </si>
  <si>
    <t>PO2FiO2</t>
    <phoneticPr fontId="1" type="noConversion"/>
  </si>
  <si>
    <t>IL-1</t>
    <phoneticPr fontId="1" type="noConversion"/>
  </si>
  <si>
    <t>IL-2R</t>
    <phoneticPr fontId="1" type="noConversion"/>
  </si>
  <si>
    <t>IL6</t>
    <phoneticPr fontId="1" type="noConversion"/>
  </si>
  <si>
    <t>IL8</t>
    <phoneticPr fontId="1" type="noConversion"/>
  </si>
  <si>
    <t>IL10</t>
    <phoneticPr fontId="1" type="noConversion"/>
  </si>
  <si>
    <t>TNF</t>
    <phoneticPr fontId="1" type="noConversion"/>
  </si>
  <si>
    <t>CD3Tcellp</t>
    <phoneticPr fontId="1" type="noConversion"/>
  </si>
  <si>
    <t>CD4Tcellp</t>
    <phoneticPr fontId="1" type="noConversion"/>
  </si>
  <si>
    <t>CD8Tcellp</t>
    <phoneticPr fontId="1" type="noConversion"/>
  </si>
  <si>
    <t>CD3Tcelln</t>
    <phoneticPr fontId="1" type="noConversion"/>
  </si>
  <si>
    <t>CD4Tcelln</t>
    <phoneticPr fontId="1" type="noConversion"/>
  </si>
  <si>
    <t>CD8Tcelln</t>
    <phoneticPr fontId="1" type="noConversion"/>
  </si>
  <si>
    <t>cd4cd8ratio</t>
    <phoneticPr fontId="1" type="noConversion"/>
  </si>
  <si>
    <t>AB</t>
    <phoneticPr fontId="1" type="noConversion"/>
  </si>
  <si>
    <t>KP</t>
    <phoneticPr fontId="1" type="noConversion"/>
  </si>
  <si>
    <t>SA</t>
    <phoneticPr fontId="1" type="noConversion"/>
  </si>
  <si>
    <t>PA</t>
    <phoneticPr fontId="1" type="noConversion"/>
  </si>
  <si>
    <t>Ecoli</t>
    <phoneticPr fontId="1" type="noConversion"/>
  </si>
  <si>
    <t>SM</t>
    <phoneticPr fontId="1" type="noConversion"/>
  </si>
  <si>
    <t>SH</t>
    <phoneticPr fontId="1" type="noConversion"/>
  </si>
  <si>
    <t>HI</t>
    <phoneticPr fontId="1" type="noConversion"/>
  </si>
  <si>
    <t>SP</t>
    <phoneticPr fontId="1" type="noConversion"/>
  </si>
  <si>
    <t>fungi</t>
    <phoneticPr fontId="1" type="noConversion"/>
  </si>
  <si>
    <t>TB</t>
    <phoneticPr fontId="1" type="noConversion"/>
  </si>
  <si>
    <t>CURB65</t>
    <phoneticPr fontId="1" type="noConversion"/>
  </si>
  <si>
    <t>ventilation</t>
    <phoneticPr fontId="1" type="noConversion"/>
  </si>
  <si>
    <t>ICU</t>
    <phoneticPr fontId="1" type="noConversion"/>
  </si>
  <si>
    <t>hospitalday</t>
    <phoneticPr fontId="1" type="noConversion"/>
  </si>
  <si>
    <t>hospitalfee</t>
    <phoneticPr fontId="1" type="noConversion"/>
  </si>
  <si>
    <t>BMI</t>
    <phoneticPr fontId="1" type="noConversion"/>
  </si>
  <si>
    <t>AdV</t>
    <phoneticPr fontId="1" type="noConversion"/>
  </si>
  <si>
    <t>消化二病区</t>
  </si>
  <si>
    <t>CoV(OC43</t>
  </si>
  <si>
    <t>呼吸科监护</t>
  </si>
  <si>
    <t>呼吸六楼病区</t>
  </si>
  <si>
    <t>HRV</t>
    <phoneticPr fontId="1" type="noConversion"/>
  </si>
  <si>
    <t>HBoV</t>
  </si>
  <si>
    <t>呼吸七楼病区</t>
  </si>
  <si>
    <t>HMPV</t>
    <phoneticPr fontId="1" type="noConversion"/>
  </si>
  <si>
    <t>HBoV</t>
    <phoneticPr fontId="1" type="noConversion"/>
  </si>
  <si>
    <t>9舍5病区</t>
  </si>
  <si>
    <t>FluA</t>
    <phoneticPr fontId="1" type="noConversion"/>
  </si>
  <si>
    <t>急诊ICU</t>
  </si>
  <si>
    <t>RSVB</t>
    <phoneticPr fontId="1" type="noConversion"/>
  </si>
  <si>
    <t>神经内科病区</t>
  </si>
  <si>
    <t>呼吸八楼病区</t>
  </si>
  <si>
    <t>HRV/HMPV</t>
    <phoneticPr fontId="1" type="noConversion"/>
  </si>
  <si>
    <t>血液清洁病房</t>
  </si>
  <si>
    <t>感染四楼病区</t>
  </si>
  <si>
    <t>放射介入科</t>
  </si>
  <si>
    <t>RSVA</t>
    <phoneticPr fontId="1" type="noConversion"/>
  </si>
  <si>
    <t>重症医学二病区</t>
  </si>
  <si>
    <t>FluB</t>
    <phoneticPr fontId="1" type="noConversion"/>
  </si>
  <si>
    <t>内分泌</t>
  </si>
  <si>
    <t>PIV3</t>
    <phoneticPr fontId="1" type="noConversion"/>
  </si>
  <si>
    <t>PIV3</t>
  </si>
  <si>
    <t>EV</t>
    <phoneticPr fontId="1" type="noConversion"/>
  </si>
  <si>
    <t>心脏外科一病区</t>
  </si>
  <si>
    <t>HRV</t>
  </si>
  <si>
    <t>心外监护病区</t>
  </si>
  <si>
    <t>HRV/FluA</t>
    <phoneticPr fontId="1" type="noConversion"/>
  </si>
  <si>
    <t>HRV/CoV(OC43</t>
    <phoneticPr fontId="1" type="noConversion"/>
  </si>
  <si>
    <t>血液清洁病区</t>
  </si>
  <si>
    <t>感染三楼病区</t>
  </si>
  <si>
    <t>FluA/RSVA</t>
    <phoneticPr fontId="1" type="noConversion"/>
  </si>
  <si>
    <t>HRV/CoV</t>
    <phoneticPr fontId="1" type="noConversion"/>
  </si>
  <si>
    <t>肾脏病区</t>
  </si>
  <si>
    <t>CoV(OC43/PIV3</t>
    <phoneticPr fontId="1" type="noConversion"/>
  </si>
  <si>
    <t>FluA</t>
  </si>
  <si>
    <t>九舍六病区</t>
  </si>
  <si>
    <t>CoV(OC43/RSVB</t>
    <phoneticPr fontId="1" type="noConversion"/>
  </si>
  <si>
    <t>CoV(OC43</t>
    <phoneticPr fontId="1" type="noConversion"/>
  </si>
  <si>
    <t>FluA/CMV/HSV-II</t>
    <phoneticPr fontId="1" type="noConversion"/>
  </si>
  <si>
    <t>RSVA</t>
  </si>
  <si>
    <t>9舍6病区</t>
  </si>
  <si>
    <t>HRV/RSVB</t>
    <phoneticPr fontId="1" type="noConversion"/>
  </si>
  <si>
    <t>血液五楼病区</t>
  </si>
  <si>
    <t>FluB</t>
  </si>
  <si>
    <t>FluA/FluB/HRV</t>
    <phoneticPr fontId="1" type="noConversion"/>
  </si>
  <si>
    <t>消化一病区</t>
  </si>
  <si>
    <t>九舍七病区</t>
  </si>
  <si>
    <t>HMPV</t>
  </si>
  <si>
    <t>HRV/EV</t>
    <phoneticPr fontId="1" type="noConversion"/>
  </si>
  <si>
    <t>FluB/RSVA</t>
    <phoneticPr fontId="1" type="noConversion"/>
  </si>
  <si>
    <t>风湿免疫病区</t>
  </si>
  <si>
    <t>RSVB/EV</t>
    <phoneticPr fontId="1" type="noConversion"/>
  </si>
  <si>
    <t>皮肤科</t>
  </si>
  <si>
    <t>HMPV/CMV/风疹病毒</t>
    <phoneticPr fontId="1" type="noConversion"/>
  </si>
  <si>
    <t>FluA/HSV-II</t>
    <phoneticPr fontId="1" type="noConversion"/>
  </si>
  <si>
    <t>RSVB</t>
  </si>
  <si>
    <t>EV</t>
  </si>
  <si>
    <t>AdV</t>
  </si>
  <si>
    <t>心脏内科二病区</t>
  </si>
  <si>
    <t>CoV(OC88/CMV</t>
    <phoneticPr fontId="1" type="noConversion"/>
  </si>
  <si>
    <t>HRV/AdV</t>
    <phoneticPr fontId="1" type="noConversion"/>
  </si>
  <si>
    <t>FluA/HBoV</t>
    <phoneticPr fontId="1" type="noConversion"/>
  </si>
  <si>
    <t>CoV(OC90</t>
    <phoneticPr fontId="1" type="noConversion"/>
  </si>
  <si>
    <t>CoV(OC92</t>
    <phoneticPr fontId="1" type="noConversion"/>
  </si>
  <si>
    <t>11/06/2018</t>
    <phoneticPr fontId="1" type="noConversion"/>
  </si>
  <si>
    <t>呼吸六楼病区</t>
    <phoneticPr fontId="1" type="noConversion"/>
  </si>
  <si>
    <t>11/10/2017</t>
    <phoneticPr fontId="1" type="noConversion"/>
  </si>
  <si>
    <t>PIV24</t>
    <phoneticPr fontId="1" type="noConversion"/>
  </si>
  <si>
    <t>九舍三病区</t>
  </si>
  <si>
    <t>RSVA/CMV</t>
    <phoneticPr fontId="1" type="noConversion"/>
  </si>
  <si>
    <t>呼吸科监护(RICU)</t>
  </si>
  <si>
    <t>特需一病区</t>
  </si>
  <si>
    <t>HRV/EBV/CMV</t>
    <phoneticPr fontId="1" type="noConversion"/>
  </si>
  <si>
    <t>RSVA/HBoV/AdV</t>
    <phoneticPr fontId="1" type="noConversion"/>
  </si>
  <si>
    <t>九舍四病区</t>
  </si>
  <si>
    <t>心脏内科重症监护病区</t>
  </si>
  <si>
    <t>九舍五病区</t>
  </si>
  <si>
    <t>内科急症病区</t>
    <phoneticPr fontId="1" type="noConversion"/>
  </si>
  <si>
    <t>特需二病区</t>
  </si>
  <si>
    <t>血液中心病区</t>
  </si>
  <si>
    <t>CoV(OC43/CMV/HSV-II</t>
    <phoneticPr fontId="1" type="noConversion"/>
  </si>
  <si>
    <t>FluA/CMV/HSV-I/HSV-II</t>
    <phoneticPr fontId="1" type="noConversion"/>
  </si>
  <si>
    <t>骨髓移植病区</t>
  </si>
  <si>
    <t>FluA/HMPV</t>
    <phoneticPr fontId="1" type="noConversion"/>
  </si>
  <si>
    <t>FluA/PIV1</t>
    <phoneticPr fontId="1" type="noConversion"/>
  </si>
  <si>
    <t>皮肤科病区</t>
  </si>
  <si>
    <t>内科急症病区</t>
  </si>
  <si>
    <t>PIV3/FluA</t>
    <phoneticPr fontId="1" type="noConversion"/>
  </si>
  <si>
    <t>FluA/CMV/风疹病毒/HSV-I/HSV-II</t>
    <phoneticPr fontId="1" type="noConversion"/>
  </si>
  <si>
    <t>RSVA/FluB</t>
    <phoneticPr fontId="1" type="noConversion"/>
  </si>
  <si>
    <t>重症医学一病区</t>
  </si>
  <si>
    <t>2018-11-16</t>
  </si>
  <si>
    <t>2018-11-20</t>
  </si>
  <si>
    <t>2018-11-21</t>
  </si>
  <si>
    <t>2018-11-23</t>
  </si>
  <si>
    <t>2018-11-26</t>
  </si>
  <si>
    <t>HRV/FLluB/PIV3</t>
    <phoneticPr fontId="1" type="noConversion"/>
  </si>
  <si>
    <t>2018-11-27</t>
  </si>
  <si>
    <t>2018-11-5</t>
  </si>
  <si>
    <t>2018-11-7</t>
  </si>
  <si>
    <t>2018-12-11</t>
  </si>
  <si>
    <t>2018-12-12</t>
  </si>
  <si>
    <t>2018-12-15</t>
  </si>
  <si>
    <t>2018-12-17</t>
  </si>
  <si>
    <t>PIV1</t>
    <phoneticPr fontId="1" type="noConversion"/>
  </si>
  <si>
    <t>2018-12-20</t>
  </si>
  <si>
    <t>2018-12-25</t>
  </si>
  <si>
    <t>2018-12-28</t>
  </si>
  <si>
    <t>2018-12-29</t>
  </si>
  <si>
    <t>2017-1-10</t>
  </si>
  <si>
    <t>2017-12-13</t>
  </si>
  <si>
    <t>2017-1-22</t>
  </si>
  <si>
    <t>2017-2-14</t>
  </si>
  <si>
    <t>2017-3-21</t>
  </si>
  <si>
    <t>2017-3-28</t>
  </si>
  <si>
    <t>2017-7-5</t>
  </si>
  <si>
    <t>pneumoniat (1CAP 2HAP)</t>
    <phoneticPr fontId="1" type="noConversion"/>
  </si>
  <si>
    <t>species type of virus</t>
    <phoneticPr fontId="1" type="noConversion"/>
  </si>
  <si>
    <t>multivirus infection</t>
    <phoneticPr fontId="1" type="noConversion"/>
  </si>
  <si>
    <t>inpatient day</t>
    <phoneticPr fontId="1" type="noConversion"/>
  </si>
  <si>
    <t>deathinhospital (0survival 1death)</t>
    <phoneticPr fontId="1" type="noConversion"/>
  </si>
  <si>
    <t>severe pneumonia</t>
    <phoneticPr fontId="1" type="noConversion"/>
  </si>
  <si>
    <t>occupation (1nojob 2retaired 3working 4student)</t>
    <phoneticPr fontId="1" type="noConversion"/>
  </si>
  <si>
    <t>smoking (0non-smoker 1acute-smoker 2quit-smoker)</t>
    <phoneticPr fontId="1" type="noConversion"/>
  </si>
  <si>
    <t>multilobe infection in CT/xray</t>
    <phoneticPr fontId="1" type="noConversion"/>
  </si>
  <si>
    <t>bacteria (1for bacterial coinfection)</t>
    <phoneticPr fontId="1" type="noConversion"/>
  </si>
  <si>
    <t>virus early-treatment</t>
    <phoneticPr fontId="1" type="noConversion"/>
  </si>
  <si>
    <t>use of steroid in hospital</t>
    <phoneticPr fontId="1" type="noConversion"/>
  </si>
  <si>
    <t>patient's number</t>
    <phoneticPr fontId="1" type="noConversion"/>
  </si>
  <si>
    <t>&lt;20</t>
    <phoneticPr fontId="1" type="noConversion"/>
  </si>
  <si>
    <t>20-25</t>
    <phoneticPr fontId="1" type="noConversion"/>
  </si>
  <si>
    <t>26-30</t>
    <phoneticPr fontId="1" type="noConversion"/>
  </si>
  <si>
    <t>31-35</t>
    <phoneticPr fontId="1" type="noConversion"/>
  </si>
  <si>
    <t>36-40</t>
    <phoneticPr fontId="1" type="noConversion"/>
  </si>
  <si>
    <t>41-45</t>
    <phoneticPr fontId="1" type="noConversion"/>
  </si>
  <si>
    <t>46-50</t>
    <phoneticPr fontId="1" type="noConversion"/>
  </si>
  <si>
    <t>51-55</t>
    <phoneticPr fontId="1" type="noConversion"/>
  </si>
  <si>
    <t>56-60</t>
    <phoneticPr fontId="1" type="noConversion"/>
  </si>
  <si>
    <t>61-65</t>
    <phoneticPr fontId="1" type="noConversion"/>
  </si>
  <si>
    <t>66-70</t>
    <phoneticPr fontId="1" type="noConversion"/>
  </si>
  <si>
    <t>71-75</t>
    <phoneticPr fontId="1" type="noConversion"/>
  </si>
  <si>
    <t>76-80</t>
    <phoneticPr fontId="1" type="noConversion"/>
  </si>
  <si>
    <t>81-85</t>
    <phoneticPr fontId="1" type="noConversion"/>
  </si>
  <si>
    <t>86-90</t>
    <phoneticPr fontId="1" type="noConversion"/>
  </si>
  <si>
    <t>&gt;90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</si>
</sst>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1">
      <alignment vertical="center"/>
    </xf>
    <xf numFmtId="14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2" xfId="1" xr:uid="{3DC89A2C-4245-41A5-9E5B-1EB120E03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C75C-B38D-42B6-A944-47C5EF0A2F1F}">
  <dimension ref="A1:BJ529"/>
  <sheetViews>
    <sheetView tabSelected="1" workbookViewId="0">
      <selection activeCell="K437" sqref="K437"/>
    </sheetView>
  </sheetViews>
  <sheetFormatPr defaultRowHeight="14" x14ac:dyDescent="0.3"/>
  <cols>
    <col min="5" max="5" width="10.58203125" style="2" bestFit="1" customWidth="1"/>
  </cols>
  <sheetData>
    <row r="1" spans="1:62" x14ac:dyDescent="0.3">
      <c r="A1" s="1" t="s">
        <v>169</v>
      </c>
      <c r="B1" s="1" t="s">
        <v>181</v>
      </c>
      <c r="C1" t="s">
        <v>170</v>
      </c>
      <c r="D1" s="1" t="s">
        <v>171</v>
      </c>
      <c r="E1" s="2" t="s">
        <v>172</v>
      </c>
      <c r="F1" s="1" t="s">
        <v>0</v>
      </c>
      <c r="G1" t="s">
        <v>173</v>
      </c>
      <c r="H1" s="1" t="s">
        <v>174</v>
      </c>
      <c r="I1" s="1" t="s">
        <v>175</v>
      </c>
      <c r="J1" t="s">
        <v>1</v>
      </c>
      <c r="K1" s="1" t="s">
        <v>48</v>
      </c>
      <c r="L1" t="s">
        <v>176</v>
      </c>
      <c r="M1" s="1" t="s">
        <v>2</v>
      </c>
      <c r="N1" t="s">
        <v>3</v>
      </c>
      <c r="O1" s="1" t="s">
        <v>4</v>
      </c>
      <c r="P1" t="s">
        <v>5</v>
      </c>
      <c r="Q1" s="1" t="s">
        <v>6</v>
      </c>
      <c r="R1" t="s">
        <v>7</v>
      </c>
      <c r="S1" s="1" t="s">
        <v>8</v>
      </c>
      <c r="T1" t="s">
        <v>9</v>
      </c>
      <c r="U1" s="1" t="s">
        <v>10</v>
      </c>
      <c r="V1" t="s">
        <v>11</v>
      </c>
      <c r="W1" s="1" t="s">
        <v>12</v>
      </c>
      <c r="X1" t="s">
        <v>13</v>
      </c>
      <c r="Y1" s="1" t="s">
        <v>14</v>
      </c>
      <c r="Z1" t="s">
        <v>177</v>
      </c>
      <c r="AA1" s="1" t="s">
        <v>15</v>
      </c>
      <c r="AB1" t="s">
        <v>16</v>
      </c>
      <c r="AC1" s="1" t="s">
        <v>17</v>
      </c>
      <c r="AD1" t="s">
        <v>18</v>
      </c>
      <c r="AE1" s="1" t="s">
        <v>19</v>
      </c>
      <c r="AF1" t="s">
        <v>20</v>
      </c>
      <c r="AG1" s="1" t="s">
        <v>21</v>
      </c>
      <c r="AH1" t="s">
        <v>22</v>
      </c>
      <c r="AI1" s="1" t="s">
        <v>23</v>
      </c>
      <c r="AJ1" t="s">
        <v>24</v>
      </c>
      <c r="AK1" s="1" t="s">
        <v>25</v>
      </c>
      <c r="AL1" t="s">
        <v>26</v>
      </c>
      <c r="AM1" s="1" t="s">
        <v>27</v>
      </c>
      <c r="AN1" t="s">
        <v>28</v>
      </c>
      <c r="AO1" s="1" t="s">
        <v>29</v>
      </c>
      <c r="AP1" t="s">
        <v>30</v>
      </c>
      <c r="AQ1" s="1" t="s">
        <v>31</v>
      </c>
      <c r="AR1" t="s">
        <v>178</v>
      </c>
      <c r="AS1" s="1" t="s">
        <v>32</v>
      </c>
      <c r="AT1" t="s">
        <v>33</v>
      </c>
      <c r="AU1" s="1" t="s">
        <v>34</v>
      </c>
      <c r="AV1" t="s">
        <v>35</v>
      </c>
      <c r="AW1" s="1" t="s">
        <v>36</v>
      </c>
      <c r="AX1" t="s">
        <v>37</v>
      </c>
      <c r="AY1" s="1" t="s">
        <v>38</v>
      </c>
      <c r="AZ1" t="s">
        <v>39</v>
      </c>
      <c r="BA1" s="1" t="s">
        <v>40</v>
      </c>
      <c r="BB1" t="s">
        <v>41</v>
      </c>
      <c r="BC1" s="1" t="s">
        <v>42</v>
      </c>
      <c r="BD1" t="s">
        <v>43</v>
      </c>
      <c r="BE1" s="1" t="s">
        <v>44</v>
      </c>
      <c r="BF1" t="s">
        <v>45</v>
      </c>
      <c r="BG1" s="1" t="s">
        <v>46</v>
      </c>
      <c r="BH1" t="s">
        <v>47</v>
      </c>
      <c r="BI1" s="1" t="s">
        <v>179</v>
      </c>
      <c r="BJ1" t="s">
        <v>180</v>
      </c>
    </row>
    <row r="2" spans="1:62" x14ac:dyDescent="0.3">
      <c r="A2" s="1">
        <v>1</v>
      </c>
      <c r="B2" s="1">
        <v>1</v>
      </c>
      <c r="C2" s="1" t="s">
        <v>87</v>
      </c>
      <c r="D2">
        <v>0</v>
      </c>
      <c r="E2" s="6">
        <v>43162</v>
      </c>
      <c r="F2" s="1" t="s">
        <v>99</v>
      </c>
      <c r="G2" s="1">
        <v>0</v>
      </c>
      <c r="H2" s="1">
        <v>0</v>
      </c>
      <c r="I2" s="1">
        <v>3</v>
      </c>
      <c r="J2" s="1" t="s">
        <v>190</v>
      </c>
      <c r="K2" s="1">
        <v>24.12</v>
      </c>
      <c r="L2" s="1">
        <v>0</v>
      </c>
      <c r="M2" s="1">
        <v>1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1</v>
      </c>
      <c r="AA2">
        <v>1.4708700000000001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 s="1">
        <v>0</v>
      </c>
      <c r="BE2" s="1">
        <v>0</v>
      </c>
      <c r="BF2" s="1">
        <v>0</v>
      </c>
      <c r="BG2" s="1">
        <v>7</v>
      </c>
      <c r="BH2" s="1">
        <v>777.83</v>
      </c>
      <c r="BI2" s="1">
        <v>1</v>
      </c>
      <c r="BJ2" s="1">
        <v>0</v>
      </c>
    </row>
    <row r="3" spans="1:62" x14ac:dyDescent="0.3">
      <c r="A3">
        <v>1</v>
      </c>
      <c r="B3">
        <v>2</v>
      </c>
      <c r="C3" s="1" t="s">
        <v>60</v>
      </c>
      <c r="D3">
        <v>0</v>
      </c>
      <c r="E3" s="2">
        <v>43500</v>
      </c>
      <c r="F3" t="s">
        <v>64</v>
      </c>
      <c r="G3" s="1">
        <v>0</v>
      </c>
      <c r="H3" s="1">
        <v>0</v>
      </c>
      <c r="I3" s="1">
        <v>2</v>
      </c>
      <c r="J3" s="1" t="s">
        <v>196</v>
      </c>
      <c r="K3" s="1">
        <v>23.66</v>
      </c>
      <c r="L3" s="1">
        <v>0</v>
      </c>
      <c r="M3" s="1">
        <v>1</v>
      </c>
      <c r="N3" s="1">
        <v>1</v>
      </c>
      <c r="O3" s="1">
        <v>0</v>
      </c>
      <c r="P3" s="1">
        <v>1</v>
      </c>
      <c r="Q3" s="1">
        <v>1</v>
      </c>
      <c r="R3" s="1">
        <v>1</v>
      </c>
      <c r="S3" s="1">
        <v>0</v>
      </c>
      <c r="T3" s="1">
        <v>1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1</v>
      </c>
      <c r="AA3" s="1">
        <v>1.24</v>
      </c>
      <c r="AB3" s="1">
        <v>9.34</v>
      </c>
      <c r="AC3" s="1">
        <v>21</v>
      </c>
      <c r="AD3">
        <f>AB3*100/AC3</f>
        <v>44.476190476190474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2</v>
      </c>
      <c r="BE3" s="1">
        <v>0</v>
      </c>
      <c r="BF3" s="1">
        <v>0</v>
      </c>
      <c r="BG3" s="1">
        <v>15</v>
      </c>
      <c r="BH3">
        <f>1923.2+4449+505+812+870+720+750+137.34</f>
        <v>10166.540000000001</v>
      </c>
      <c r="BI3" s="1">
        <v>1</v>
      </c>
      <c r="BJ3" s="1">
        <v>0</v>
      </c>
    </row>
    <row r="4" spans="1:62" x14ac:dyDescent="0.3">
      <c r="A4" s="1">
        <v>1</v>
      </c>
      <c r="B4" s="1">
        <v>3</v>
      </c>
      <c r="C4" s="1" t="s">
        <v>62</v>
      </c>
      <c r="D4">
        <v>0</v>
      </c>
      <c r="E4" s="6">
        <v>43038</v>
      </c>
      <c r="F4" s="1" t="s">
        <v>52</v>
      </c>
      <c r="G4" s="1">
        <v>1</v>
      </c>
      <c r="H4" s="1">
        <v>1</v>
      </c>
      <c r="I4" s="1">
        <v>2</v>
      </c>
      <c r="J4" s="1" t="s">
        <v>193</v>
      </c>
      <c r="K4" s="1">
        <v>25.61</v>
      </c>
      <c r="L4" s="1">
        <v>2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1</v>
      </c>
      <c r="Y4" s="1">
        <v>0</v>
      </c>
      <c r="Z4" s="1">
        <v>2</v>
      </c>
      <c r="AA4">
        <v>0.16403999999999999</v>
      </c>
      <c r="AB4" s="1">
        <v>8.64</v>
      </c>
      <c r="AC4" s="1">
        <v>21</v>
      </c>
      <c r="AD4">
        <f>AB4*100/AC4</f>
        <v>41.142857142857146</v>
      </c>
      <c r="AG4" s="1">
        <v>35.6</v>
      </c>
      <c r="AK4" s="1">
        <v>70.599999999999994</v>
      </c>
      <c r="AL4" s="1">
        <v>14.8</v>
      </c>
      <c r="AM4" s="1">
        <v>55</v>
      </c>
      <c r="AN4" s="1">
        <v>198</v>
      </c>
      <c r="AO4" s="1">
        <v>41</v>
      </c>
      <c r="AP4" s="1">
        <v>154</v>
      </c>
      <c r="AQ4">
        <f>AL4/AM4</f>
        <v>0.2690909090909091</v>
      </c>
      <c r="AR4" s="1">
        <v>1</v>
      </c>
      <c r="AS4" s="1">
        <v>0</v>
      </c>
      <c r="AT4" s="1">
        <v>1</v>
      </c>
      <c r="AU4" s="1">
        <v>0</v>
      </c>
      <c r="AV4" s="1">
        <v>1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5</v>
      </c>
      <c r="BE4" s="1">
        <v>2</v>
      </c>
      <c r="BF4" s="1">
        <v>1</v>
      </c>
      <c r="BG4" s="1">
        <v>11</v>
      </c>
      <c r="BH4" s="1">
        <v>92535.66</v>
      </c>
      <c r="BI4" s="1">
        <v>1</v>
      </c>
      <c r="BJ4" s="1">
        <v>1</v>
      </c>
    </row>
    <row r="5" spans="1:62" x14ac:dyDescent="0.3">
      <c r="A5" s="1">
        <v>1</v>
      </c>
      <c r="B5" s="1">
        <v>4</v>
      </c>
      <c r="C5" s="1" t="s">
        <v>71</v>
      </c>
      <c r="D5">
        <v>0</v>
      </c>
      <c r="E5" s="6">
        <v>43108</v>
      </c>
      <c r="F5" s="1" t="s">
        <v>52</v>
      </c>
      <c r="G5" s="1">
        <v>1</v>
      </c>
      <c r="H5" s="1">
        <v>1</v>
      </c>
      <c r="I5" s="1">
        <v>2</v>
      </c>
      <c r="J5" s="1" t="s">
        <v>192</v>
      </c>
      <c r="K5" s="1">
        <v>20.52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2</v>
      </c>
      <c r="AA5">
        <v>0.3201</v>
      </c>
      <c r="AB5" s="1">
        <v>13.25</v>
      </c>
      <c r="AC5" s="1">
        <v>60</v>
      </c>
      <c r="AD5">
        <f>AB5*100/AC5</f>
        <v>22.083333333333332</v>
      </c>
      <c r="AE5" s="1">
        <v>5</v>
      </c>
      <c r="AF5" s="1">
        <v>4651</v>
      </c>
      <c r="AG5" s="1">
        <v>196</v>
      </c>
      <c r="AH5" s="1">
        <v>192</v>
      </c>
      <c r="AI5" s="1">
        <v>19.3</v>
      </c>
      <c r="AJ5" s="1">
        <v>42.6</v>
      </c>
      <c r="AK5" s="1">
        <v>33.9</v>
      </c>
      <c r="AL5" s="1">
        <v>16.3</v>
      </c>
      <c r="AM5" s="1">
        <v>17.600000000000001</v>
      </c>
      <c r="AN5" s="1">
        <v>698</v>
      </c>
      <c r="AO5" s="1">
        <v>336</v>
      </c>
      <c r="AP5" s="1">
        <v>363</v>
      </c>
      <c r="AQ5">
        <f>AL5/AM5</f>
        <v>0.92613636363636365</v>
      </c>
      <c r="AR5" s="1">
        <v>1</v>
      </c>
      <c r="AS5" s="1">
        <v>0</v>
      </c>
      <c r="AT5" s="1">
        <v>1</v>
      </c>
      <c r="AU5" s="1">
        <v>0</v>
      </c>
      <c r="AV5" s="1">
        <v>0</v>
      </c>
      <c r="AW5" s="1">
        <v>0</v>
      </c>
      <c r="AX5" s="1">
        <v>1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4</v>
      </c>
      <c r="BE5" s="1">
        <v>2</v>
      </c>
      <c r="BF5" s="1">
        <v>1</v>
      </c>
      <c r="BG5" s="1">
        <v>25</v>
      </c>
      <c r="BH5" s="1">
        <v>279797.25</v>
      </c>
      <c r="BI5" s="1">
        <v>1</v>
      </c>
      <c r="BJ5" s="1">
        <v>0</v>
      </c>
    </row>
    <row r="6" spans="1:62" x14ac:dyDescent="0.3">
      <c r="A6">
        <v>1</v>
      </c>
      <c r="B6">
        <v>5</v>
      </c>
      <c r="C6" s="1" t="s">
        <v>60</v>
      </c>
      <c r="D6">
        <v>0</v>
      </c>
      <c r="E6" s="2">
        <v>43500</v>
      </c>
      <c r="F6" t="s">
        <v>82</v>
      </c>
      <c r="G6" s="1">
        <v>0</v>
      </c>
      <c r="H6" s="1">
        <v>0</v>
      </c>
      <c r="I6" s="1">
        <v>2</v>
      </c>
      <c r="J6" s="1" t="s">
        <v>191</v>
      </c>
      <c r="K6" s="1">
        <v>27.38</v>
      </c>
      <c r="L6" s="1">
        <v>0</v>
      </c>
      <c r="M6" s="1">
        <v>1</v>
      </c>
      <c r="N6" s="1">
        <v>0</v>
      </c>
      <c r="O6" s="1">
        <v>0</v>
      </c>
      <c r="P6" s="1">
        <v>1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1</v>
      </c>
      <c r="X6" s="1">
        <v>0</v>
      </c>
      <c r="Y6" s="1">
        <v>0</v>
      </c>
      <c r="Z6" s="1">
        <v>2</v>
      </c>
      <c r="AA6" s="1">
        <v>1.25</v>
      </c>
      <c r="AK6">
        <v>60.9</v>
      </c>
      <c r="AL6">
        <v>38.299999999999997</v>
      </c>
      <c r="AM6">
        <v>22.1</v>
      </c>
      <c r="AN6">
        <v>761</v>
      </c>
      <c r="AO6">
        <v>479</v>
      </c>
      <c r="AP6">
        <v>276</v>
      </c>
      <c r="AQ6">
        <f>AL6/AM6</f>
        <v>1.7330316742081446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 s="1">
        <v>0</v>
      </c>
      <c r="BF6" s="1">
        <v>0</v>
      </c>
      <c r="BG6" s="1">
        <v>18</v>
      </c>
      <c r="BH6">
        <f>11127.96+559.43+8961+1925+70+410+1044+972+900+339.15</f>
        <v>26308.54</v>
      </c>
      <c r="BI6" s="1">
        <v>1</v>
      </c>
      <c r="BJ6" s="1">
        <v>0</v>
      </c>
    </row>
    <row r="7" spans="1:62" x14ac:dyDescent="0.3">
      <c r="A7" s="1">
        <v>1</v>
      </c>
      <c r="B7" s="1">
        <v>6</v>
      </c>
      <c r="C7" s="1" t="s">
        <v>71</v>
      </c>
      <c r="D7">
        <v>0</v>
      </c>
      <c r="E7" s="6">
        <v>43103</v>
      </c>
      <c r="F7" s="1" t="s">
        <v>85</v>
      </c>
      <c r="G7" s="1">
        <v>0</v>
      </c>
      <c r="H7" s="1">
        <v>0</v>
      </c>
      <c r="I7" s="1">
        <v>4</v>
      </c>
      <c r="J7" s="1" t="s">
        <v>182</v>
      </c>
      <c r="K7" s="1">
        <v>20.76</v>
      </c>
      <c r="L7" s="1">
        <v>0</v>
      </c>
      <c r="M7" s="1">
        <v>0</v>
      </c>
      <c r="N7" s="1">
        <v>1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</v>
      </c>
      <c r="Y7" s="1">
        <v>0</v>
      </c>
      <c r="Z7" s="1">
        <v>1</v>
      </c>
      <c r="AA7">
        <v>0.75245000000000006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4</v>
      </c>
      <c r="BH7" s="1">
        <v>3927.62</v>
      </c>
      <c r="BI7" s="1">
        <v>0</v>
      </c>
      <c r="BJ7" s="1">
        <v>0</v>
      </c>
    </row>
    <row r="8" spans="1:62" x14ac:dyDescent="0.3">
      <c r="A8" s="1">
        <v>1</v>
      </c>
      <c r="B8">
        <v>7</v>
      </c>
      <c r="C8" s="1" t="s">
        <v>90</v>
      </c>
      <c r="D8">
        <v>0</v>
      </c>
      <c r="E8" s="6">
        <v>43100</v>
      </c>
      <c r="F8" s="1" t="s">
        <v>59</v>
      </c>
      <c r="G8" s="1">
        <v>1</v>
      </c>
      <c r="H8" s="1">
        <v>0</v>
      </c>
      <c r="I8" s="1">
        <v>2</v>
      </c>
      <c r="J8" s="1" t="s">
        <v>194</v>
      </c>
      <c r="K8" s="1">
        <v>22.91</v>
      </c>
      <c r="L8" s="1">
        <v>0</v>
      </c>
      <c r="M8" s="1">
        <v>0</v>
      </c>
      <c r="N8" s="1">
        <v>1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v>1</v>
      </c>
      <c r="Z8" s="1">
        <v>1</v>
      </c>
      <c r="AA8">
        <v>1.4235200000000001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1</v>
      </c>
      <c r="BE8" s="1">
        <v>0</v>
      </c>
      <c r="BF8" s="1">
        <v>0</v>
      </c>
      <c r="BG8" s="1">
        <v>8</v>
      </c>
      <c r="BH8" s="1">
        <v>4148.07</v>
      </c>
      <c r="BI8" s="1">
        <v>0</v>
      </c>
      <c r="BJ8" s="1">
        <v>0</v>
      </c>
    </row>
    <row r="9" spans="1:62" x14ac:dyDescent="0.3">
      <c r="A9" s="1">
        <v>1</v>
      </c>
      <c r="B9" s="1">
        <v>8</v>
      </c>
      <c r="C9" s="1" t="s">
        <v>108</v>
      </c>
      <c r="D9">
        <v>0</v>
      </c>
      <c r="E9" s="6">
        <v>43172</v>
      </c>
      <c r="F9" s="1" t="s">
        <v>99</v>
      </c>
      <c r="G9" s="1">
        <v>0</v>
      </c>
      <c r="H9" s="1">
        <v>0</v>
      </c>
      <c r="I9" s="1">
        <v>2</v>
      </c>
      <c r="J9" s="1" t="s">
        <v>195</v>
      </c>
      <c r="K9" s="1">
        <v>28.22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</v>
      </c>
      <c r="Z9" s="1">
        <v>2</v>
      </c>
      <c r="AA9">
        <v>1.9584000000000001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 s="1">
        <v>1</v>
      </c>
      <c r="BE9" s="1">
        <v>0</v>
      </c>
      <c r="BF9" s="1">
        <v>1</v>
      </c>
      <c r="BG9" s="1">
        <v>12</v>
      </c>
      <c r="BH9" s="1">
        <v>6814.19</v>
      </c>
      <c r="BI9" s="1">
        <v>0</v>
      </c>
      <c r="BJ9" s="1">
        <v>0</v>
      </c>
    </row>
    <row r="10" spans="1:62" x14ac:dyDescent="0.3">
      <c r="A10" s="1">
        <v>1</v>
      </c>
      <c r="B10" s="1">
        <v>9</v>
      </c>
      <c r="C10" s="1" t="s">
        <v>51</v>
      </c>
      <c r="D10">
        <v>0</v>
      </c>
      <c r="E10" s="6">
        <v>42818</v>
      </c>
      <c r="F10" s="1" t="s">
        <v>52</v>
      </c>
      <c r="G10" s="1">
        <v>1</v>
      </c>
      <c r="H10" s="1">
        <v>1</v>
      </c>
      <c r="I10" s="1">
        <v>2</v>
      </c>
      <c r="J10" s="1" t="s">
        <v>194</v>
      </c>
      <c r="K10" s="1">
        <v>24.03</v>
      </c>
      <c r="L10" s="1">
        <v>1</v>
      </c>
      <c r="M10" s="1">
        <v>1</v>
      </c>
      <c r="N10" s="1">
        <v>1</v>
      </c>
      <c r="O10" s="1">
        <v>1</v>
      </c>
      <c r="P10" s="1">
        <v>0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</v>
      </c>
      <c r="Z10" s="1">
        <v>2</v>
      </c>
      <c r="AA10">
        <v>0.77950000000000008</v>
      </c>
      <c r="AB10" s="1">
        <v>10.65</v>
      </c>
      <c r="AC10" s="1">
        <v>41</v>
      </c>
      <c r="AD10">
        <f>AB10*100/AC10</f>
        <v>25.975609756097562</v>
      </c>
      <c r="AE10" s="1">
        <v>5</v>
      </c>
      <c r="AF10" s="1">
        <v>1623</v>
      </c>
      <c r="AG10" s="1">
        <v>10.1</v>
      </c>
      <c r="AH10" s="1">
        <v>191</v>
      </c>
      <c r="AI10" s="1">
        <v>7.77</v>
      </c>
      <c r="AJ10" s="1">
        <v>4.1500000000000004</v>
      </c>
      <c r="AK10" s="1">
        <v>32.9</v>
      </c>
      <c r="AL10" s="1">
        <v>19.5</v>
      </c>
      <c r="AM10" s="1">
        <v>12.1</v>
      </c>
      <c r="AN10" s="1">
        <v>260</v>
      </c>
      <c r="AO10" s="1">
        <v>154</v>
      </c>
      <c r="AP10" s="1">
        <v>96</v>
      </c>
      <c r="AQ10">
        <f>AL10/AM10</f>
        <v>1.6115702479338843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3</v>
      </c>
      <c r="BE10" s="1">
        <v>1</v>
      </c>
      <c r="BF10" s="1">
        <v>0</v>
      </c>
      <c r="BG10" s="1">
        <v>2</v>
      </c>
      <c r="BH10" s="1">
        <v>21793.45</v>
      </c>
      <c r="BI10" s="1">
        <v>0</v>
      </c>
      <c r="BJ10" s="1">
        <v>1</v>
      </c>
    </row>
    <row r="11" spans="1:62" x14ac:dyDescent="0.3">
      <c r="A11" s="1">
        <v>1</v>
      </c>
      <c r="B11">
        <v>10</v>
      </c>
      <c r="C11" s="1" t="s">
        <v>73</v>
      </c>
      <c r="D11">
        <v>0</v>
      </c>
      <c r="E11" s="6">
        <v>42842</v>
      </c>
      <c r="F11" s="1" t="s">
        <v>121</v>
      </c>
      <c r="G11" s="1">
        <v>0</v>
      </c>
      <c r="H11" s="1">
        <v>0</v>
      </c>
      <c r="I11" s="1">
        <v>2</v>
      </c>
      <c r="J11" s="1" t="s">
        <v>191</v>
      </c>
      <c r="K11" s="1">
        <v>23.88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  <c r="Z11" s="1">
        <v>1</v>
      </c>
      <c r="AA11">
        <v>1.61172</v>
      </c>
      <c r="AK11">
        <v>51.7</v>
      </c>
      <c r="AL11">
        <v>30.8</v>
      </c>
      <c r="AM11">
        <v>14.4</v>
      </c>
      <c r="AQ11">
        <f>AL11/AM11</f>
        <v>2.1388888888888888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s="1">
        <v>1</v>
      </c>
      <c r="BE11" s="1">
        <v>0</v>
      </c>
      <c r="BF11" s="1">
        <v>0</v>
      </c>
      <c r="BG11" s="1">
        <v>11</v>
      </c>
      <c r="BH11" s="1">
        <v>5167.68</v>
      </c>
      <c r="BI11" s="1">
        <v>1</v>
      </c>
      <c r="BJ11" s="1">
        <v>0</v>
      </c>
    </row>
    <row r="12" spans="1:62" x14ac:dyDescent="0.3">
      <c r="A12">
        <v>1</v>
      </c>
      <c r="B12" s="1">
        <v>11</v>
      </c>
      <c r="C12" t="s">
        <v>57</v>
      </c>
      <c r="D12">
        <v>0</v>
      </c>
      <c r="E12" s="2">
        <v>43483</v>
      </c>
      <c r="F12" t="s">
        <v>67</v>
      </c>
      <c r="G12" s="1">
        <v>0</v>
      </c>
      <c r="H12" s="1">
        <v>0</v>
      </c>
      <c r="I12" s="1">
        <v>4</v>
      </c>
      <c r="J12" s="1" t="s">
        <v>183</v>
      </c>
      <c r="K12" s="1">
        <v>19.36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</v>
      </c>
      <c r="AA12" s="1">
        <v>0.86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 s="1">
        <v>0</v>
      </c>
      <c r="BF12" s="1">
        <v>0</v>
      </c>
      <c r="BG12" s="1">
        <v>7</v>
      </c>
      <c r="BH12">
        <f>399.19+3821+109+70+63+319+347+275+80.85</f>
        <v>5484.04</v>
      </c>
      <c r="BI12" s="1">
        <v>1</v>
      </c>
      <c r="BJ12" s="1">
        <v>0</v>
      </c>
    </row>
    <row r="13" spans="1:62" x14ac:dyDescent="0.3">
      <c r="A13" s="1">
        <v>1</v>
      </c>
      <c r="B13">
        <v>12</v>
      </c>
      <c r="C13" s="1" t="s">
        <v>71</v>
      </c>
      <c r="D13">
        <v>0</v>
      </c>
      <c r="E13" s="6">
        <v>43129</v>
      </c>
      <c r="F13" s="1" t="s">
        <v>121</v>
      </c>
      <c r="G13" s="1">
        <v>0</v>
      </c>
      <c r="H13" s="1">
        <v>0</v>
      </c>
      <c r="I13" s="1">
        <v>2</v>
      </c>
      <c r="J13" s="1" t="s">
        <v>197</v>
      </c>
      <c r="K13" s="1">
        <v>26.49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T13" s="1">
        <v>1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1</v>
      </c>
      <c r="AA13">
        <v>2.0061799999999996</v>
      </c>
      <c r="AB13" s="1">
        <v>9.9700000000000006</v>
      </c>
      <c r="AC13" s="1">
        <v>21</v>
      </c>
      <c r="AD13">
        <f>AB13*100/AC13</f>
        <v>47.476190476190482</v>
      </c>
      <c r="AK13">
        <v>82.8</v>
      </c>
      <c r="AL13">
        <v>43.4</v>
      </c>
      <c r="AM13">
        <v>35.4</v>
      </c>
      <c r="AQ13">
        <f>AL13/AM13</f>
        <v>1.2259887005649717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 s="1">
        <v>1</v>
      </c>
      <c r="BE13" s="1">
        <v>0</v>
      </c>
      <c r="BF13" s="1">
        <v>0</v>
      </c>
      <c r="BG13" s="1">
        <v>17</v>
      </c>
      <c r="BH13" s="1">
        <v>7793.38</v>
      </c>
      <c r="BI13" s="1">
        <v>0</v>
      </c>
      <c r="BJ13" s="1">
        <v>0</v>
      </c>
    </row>
    <row r="14" spans="1:62" x14ac:dyDescent="0.3">
      <c r="A14">
        <v>1</v>
      </c>
      <c r="B14" s="1">
        <v>13</v>
      </c>
      <c r="C14" t="s">
        <v>142</v>
      </c>
      <c r="D14">
        <v>1</v>
      </c>
      <c r="E14" s="2">
        <v>43531</v>
      </c>
      <c r="F14" t="s">
        <v>85</v>
      </c>
      <c r="G14" s="1">
        <v>0</v>
      </c>
      <c r="H14" s="1">
        <v>0</v>
      </c>
      <c r="I14" s="1">
        <v>2</v>
      </c>
      <c r="J14" s="1" t="s">
        <v>192</v>
      </c>
      <c r="K14" s="1">
        <v>25.47</v>
      </c>
      <c r="L14" s="1">
        <v>0</v>
      </c>
      <c r="M14" s="1">
        <v>1</v>
      </c>
      <c r="N14" s="1">
        <v>1</v>
      </c>
      <c r="O14" s="1">
        <v>0</v>
      </c>
      <c r="P14" s="1">
        <v>0</v>
      </c>
      <c r="Q14" s="1">
        <v>1</v>
      </c>
      <c r="R14" s="1">
        <v>1</v>
      </c>
      <c r="S14" s="1">
        <v>0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1</v>
      </c>
      <c r="AA14" s="1">
        <v>1</v>
      </c>
      <c r="AK14">
        <v>83.9</v>
      </c>
      <c r="AL14">
        <v>58.5</v>
      </c>
      <c r="AM14">
        <v>20.6</v>
      </c>
      <c r="AN14">
        <v>839</v>
      </c>
      <c r="AO14">
        <v>585</v>
      </c>
      <c r="AP14">
        <v>206</v>
      </c>
      <c r="AQ14">
        <f>AL14/AM14</f>
        <v>2.8398058252427183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2</v>
      </c>
      <c r="BE14" s="1">
        <v>0</v>
      </c>
      <c r="BF14" s="1">
        <v>0</v>
      </c>
      <c r="BG14" s="1">
        <v>6</v>
      </c>
      <c r="BH14">
        <f>1037.15+5477+1024+20+348+252+300</f>
        <v>8458.15</v>
      </c>
      <c r="BI14" s="1">
        <v>1</v>
      </c>
      <c r="BJ14" s="1">
        <v>1</v>
      </c>
    </row>
    <row r="15" spans="1:62" x14ac:dyDescent="0.3">
      <c r="A15" s="1">
        <v>1</v>
      </c>
      <c r="B15" s="1">
        <v>14</v>
      </c>
      <c r="C15" s="1" t="s">
        <v>54</v>
      </c>
      <c r="D15">
        <v>0</v>
      </c>
      <c r="E15" s="6">
        <v>43056</v>
      </c>
      <c r="F15" s="1" t="s">
        <v>85</v>
      </c>
      <c r="G15" s="1">
        <v>0</v>
      </c>
      <c r="H15" s="1">
        <v>0</v>
      </c>
      <c r="I15" s="1">
        <v>1</v>
      </c>
      <c r="J15" s="1" t="s">
        <v>182</v>
      </c>
      <c r="K15" s="1">
        <v>27.74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1</v>
      </c>
      <c r="AA15">
        <v>2.7348000000000003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5</v>
      </c>
      <c r="BH15" s="1">
        <v>6170.64</v>
      </c>
      <c r="BI15" s="1">
        <v>0</v>
      </c>
      <c r="BJ15" s="1">
        <v>0</v>
      </c>
    </row>
    <row r="16" spans="1:62" x14ac:dyDescent="0.3">
      <c r="A16" s="1">
        <v>1</v>
      </c>
      <c r="B16">
        <v>15</v>
      </c>
      <c r="C16" s="1" t="s">
        <v>49</v>
      </c>
      <c r="D16">
        <v>0</v>
      </c>
      <c r="E16" s="6">
        <v>42129</v>
      </c>
      <c r="F16" s="1" t="s">
        <v>50</v>
      </c>
      <c r="G16" s="1">
        <v>0</v>
      </c>
      <c r="H16" s="1">
        <v>1</v>
      </c>
      <c r="I16" s="1">
        <v>2</v>
      </c>
      <c r="J16" s="1" t="s">
        <v>193</v>
      </c>
      <c r="K16" s="1">
        <v>29.14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2</v>
      </c>
      <c r="AA16">
        <v>0.68708999999999998</v>
      </c>
      <c r="AB16" s="1">
        <v>6.05</v>
      </c>
      <c r="AC16">
        <v>21</v>
      </c>
      <c r="AD16">
        <f>AB16*100/AC16</f>
        <v>28.80952380952381</v>
      </c>
      <c r="AE16" s="1">
        <v>5</v>
      </c>
      <c r="AF16" s="1">
        <v>872</v>
      </c>
      <c r="AG16" s="1">
        <v>10.7</v>
      </c>
      <c r="AH16" s="1">
        <v>26.3</v>
      </c>
      <c r="AI16" s="1">
        <v>5.73</v>
      </c>
      <c r="AJ16" s="1">
        <v>7.45</v>
      </c>
      <c r="AK16" s="1">
        <v>45.5</v>
      </c>
      <c r="AL16" s="1">
        <v>22.2</v>
      </c>
      <c r="AM16" s="1">
        <v>20.7</v>
      </c>
      <c r="AR16">
        <v>1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 s="1">
        <v>2</v>
      </c>
      <c r="BE16" s="1">
        <v>0</v>
      </c>
      <c r="BF16" s="1">
        <v>1</v>
      </c>
      <c r="BG16" s="1">
        <v>29</v>
      </c>
      <c r="BH16" s="1">
        <v>86886.2</v>
      </c>
      <c r="BI16" s="1">
        <v>0</v>
      </c>
      <c r="BJ16" s="1">
        <v>1</v>
      </c>
    </row>
    <row r="17" spans="1:62" x14ac:dyDescent="0.3">
      <c r="A17" s="1">
        <v>1</v>
      </c>
      <c r="B17" s="1">
        <v>16</v>
      </c>
      <c r="C17" s="1" t="s">
        <v>54</v>
      </c>
      <c r="D17">
        <v>0</v>
      </c>
      <c r="E17" s="6">
        <v>43064</v>
      </c>
      <c r="F17" s="1" t="s">
        <v>85</v>
      </c>
      <c r="G17" s="1">
        <v>1</v>
      </c>
      <c r="H17" s="1">
        <v>1</v>
      </c>
      <c r="I17" s="1">
        <v>2</v>
      </c>
      <c r="J17" s="1" t="s">
        <v>191</v>
      </c>
      <c r="K17" s="1">
        <v>22.03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  <c r="Z17" s="1">
        <v>2</v>
      </c>
      <c r="AA17">
        <v>0.35020000000000001</v>
      </c>
      <c r="AB17" s="1">
        <v>10.65</v>
      </c>
      <c r="AC17" s="1">
        <v>33</v>
      </c>
      <c r="AD17">
        <f>AB17*100/AC17</f>
        <v>32.272727272727273</v>
      </c>
      <c r="AN17" s="1">
        <v>307</v>
      </c>
      <c r="AO17" s="1">
        <v>71</v>
      </c>
      <c r="AP17" s="1">
        <v>233</v>
      </c>
      <c r="AR17" s="1">
        <v>1</v>
      </c>
      <c r="AS17" s="1">
        <v>1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4</v>
      </c>
      <c r="BE17" s="1">
        <v>0</v>
      </c>
      <c r="BF17" s="1">
        <v>0</v>
      </c>
      <c r="BG17" s="1">
        <v>6</v>
      </c>
      <c r="BH17" s="1">
        <v>31958.99</v>
      </c>
      <c r="BI17" s="1">
        <v>0</v>
      </c>
      <c r="BJ17" s="1">
        <v>1</v>
      </c>
    </row>
    <row r="18" spans="1:62" x14ac:dyDescent="0.3">
      <c r="A18" s="1">
        <v>1</v>
      </c>
      <c r="B18">
        <v>17</v>
      </c>
      <c r="C18" s="1" t="s">
        <v>75</v>
      </c>
      <c r="D18">
        <v>0</v>
      </c>
      <c r="E18" s="6">
        <v>43150</v>
      </c>
      <c r="F18" s="1" t="s">
        <v>64</v>
      </c>
      <c r="G18" s="1">
        <v>0</v>
      </c>
      <c r="H18" s="1">
        <v>0</v>
      </c>
      <c r="I18" s="1">
        <v>3</v>
      </c>
      <c r="J18" s="1" t="s">
        <v>190</v>
      </c>
      <c r="K18" s="1">
        <v>25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2</v>
      </c>
      <c r="AA18">
        <v>0.94079999999999997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7</v>
      </c>
      <c r="BH18" s="1">
        <v>6507.1</v>
      </c>
      <c r="BI18" s="1">
        <v>0</v>
      </c>
      <c r="BJ18" s="1">
        <v>0</v>
      </c>
    </row>
    <row r="19" spans="1:62" x14ac:dyDescent="0.3">
      <c r="A19" s="1">
        <v>1</v>
      </c>
      <c r="B19" s="1">
        <v>18</v>
      </c>
      <c r="C19" s="1" t="s">
        <v>62</v>
      </c>
      <c r="D19">
        <v>0</v>
      </c>
      <c r="E19" s="6">
        <v>42771</v>
      </c>
      <c r="F19" s="1" t="s">
        <v>56</v>
      </c>
      <c r="G19" s="1">
        <v>0</v>
      </c>
      <c r="H19" s="1">
        <v>0</v>
      </c>
      <c r="I19" s="1">
        <v>4</v>
      </c>
      <c r="J19" s="1" t="s">
        <v>182</v>
      </c>
      <c r="K19" s="1">
        <v>16.8</v>
      </c>
      <c r="L19" s="1">
        <v>0</v>
      </c>
      <c r="M19" s="1">
        <v>1</v>
      </c>
      <c r="N19" s="1">
        <v>1</v>
      </c>
      <c r="O19" s="1">
        <v>0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</v>
      </c>
      <c r="AA19">
        <v>1.1524799999999999</v>
      </c>
      <c r="AK19" s="1">
        <v>81.2</v>
      </c>
      <c r="AL19" s="1">
        <v>53.2</v>
      </c>
      <c r="AM19" s="1">
        <v>26.2</v>
      </c>
      <c r="AQ19">
        <f>AL19/AM19</f>
        <v>2.0305343511450382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8</v>
      </c>
      <c r="BH19" s="1">
        <v>6560.5</v>
      </c>
      <c r="BI19" s="1">
        <v>1</v>
      </c>
      <c r="BJ19" s="1">
        <v>0</v>
      </c>
    </row>
    <row r="20" spans="1:62" x14ac:dyDescent="0.3">
      <c r="A20">
        <v>1</v>
      </c>
      <c r="B20" s="1">
        <v>19</v>
      </c>
      <c r="C20" s="1" t="s">
        <v>60</v>
      </c>
      <c r="D20">
        <v>0</v>
      </c>
      <c r="E20" s="2">
        <v>43488</v>
      </c>
      <c r="F20" t="s">
        <v>123</v>
      </c>
      <c r="G20" s="1">
        <v>0</v>
      </c>
      <c r="H20" s="1">
        <v>0</v>
      </c>
      <c r="I20" s="1">
        <v>3</v>
      </c>
      <c r="J20" s="1" t="s">
        <v>183</v>
      </c>
      <c r="K20" s="1">
        <v>18.82</v>
      </c>
      <c r="L20" s="1">
        <v>0</v>
      </c>
      <c r="M20" s="1">
        <v>1</v>
      </c>
      <c r="N20" s="1">
        <v>0</v>
      </c>
      <c r="O20" s="1">
        <v>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>
        <f>7.2*0.231</f>
        <v>1.6632</v>
      </c>
      <c r="AB20" s="1">
        <v>24.1</v>
      </c>
      <c r="AC20" s="1">
        <v>60</v>
      </c>
      <c r="AD20">
        <f>AB20*100/AC20</f>
        <v>40.166666666666664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 s="1">
        <v>0</v>
      </c>
      <c r="BF20" s="1">
        <v>1</v>
      </c>
      <c r="BG20" s="1">
        <v>4</v>
      </c>
      <c r="BH20">
        <f>523.71+28.95+4214+1022+27+48+627+103+75+79.8</f>
        <v>6748.46</v>
      </c>
      <c r="BI20" s="1">
        <v>0</v>
      </c>
      <c r="BJ20" s="1">
        <v>1</v>
      </c>
    </row>
    <row r="21" spans="1:62" x14ac:dyDescent="0.3">
      <c r="A21" s="1">
        <v>1</v>
      </c>
      <c r="B21">
        <v>20</v>
      </c>
      <c r="C21" s="1" t="s">
        <v>73</v>
      </c>
      <c r="D21">
        <v>0</v>
      </c>
      <c r="E21" s="6">
        <v>42469</v>
      </c>
      <c r="F21" s="1" t="s">
        <v>56</v>
      </c>
      <c r="G21" s="1">
        <v>0</v>
      </c>
      <c r="H21" s="1">
        <v>0</v>
      </c>
      <c r="I21" s="1">
        <v>2</v>
      </c>
      <c r="J21" s="1" t="s">
        <v>192</v>
      </c>
      <c r="K21" s="1">
        <v>22.13</v>
      </c>
      <c r="L21" s="1">
        <v>2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</v>
      </c>
      <c r="AA21">
        <v>1.4482399999999997</v>
      </c>
      <c r="AB21" s="1">
        <v>8.94</v>
      </c>
      <c r="AC21" s="1">
        <v>21</v>
      </c>
      <c r="AD21">
        <f>AB21*100/AC21</f>
        <v>42.571428571428569</v>
      </c>
      <c r="AK21" s="1">
        <v>58.4</v>
      </c>
      <c r="AL21" s="1">
        <v>35.9</v>
      </c>
      <c r="AM21" s="1">
        <v>21.8</v>
      </c>
      <c r="AQ21">
        <f>AL21/AM21</f>
        <v>1.6467889908256879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1</v>
      </c>
      <c r="BC21" s="1">
        <v>0</v>
      </c>
      <c r="BD21" s="1">
        <v>1</v>
      </c>
      <c r="BE21" s="1">
        <v>0</v>
      </c>
      <c r="BF21" s="1">
        <v>0</v>
      </c>
      <c r="BG21" s="1">
        <v>12</v>
      </c>
      <c r="BH21" s="1">
        <v>11413.26</v>
      </c>
      <c r="BI21" s="1">
        <v>0</v>
      </c>
      <c r="BJ21" s="1">
        <v>1</v>
      </c>
    </row>
    <row r="22" spans="1:62" x14ac:dyDescent="0.3">
      <c r="A22">
        <v>1</v>
      </c>
      <c r="B22" s="1">
        <v>21</v>
      </c>
      <c r="C22" s="1" t="s">
        <v>60</v>
      </c>
      <c r="D22">
        <v>0</v>
      </c>
      <c r="E22" s="2">
        <v>43508</v>
      </c>
      <c r="F22" t="s">
        <v>123</v>
      </c>
      <c r="G22" s="1">
        <v>0</v>
      </c>
      <c r="H22" s="1">
        <v>1</v>
      </c>
      <c r="I22" s="1">
        <v>2</v>
      </c>
      <c r="J22" s="1" t="s">
        <v>193</v>
      </c>
      <c r="K22" s="1">
        <v>29.38</v>
      </c>
      <c r="L22" s="1">
        <v>0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</v>
      </c>
      <c r="AA22" s="1">
        <v>0.75</v>
      </c>
      <c r="AB22" s="1">
        <v>14.89</v>
      </c>
      <c r="AC22" s="1">
        <v>50</v>
      </c>
      <c r="AD22">
        <f>AB22*100/AC22</f>
        <v>29.78</v>
      </c>
      <c r="AE22" s="1">
        <v>11</v>
      </c>
      <c r="AF22" s="1">
        <v>871</v>
      </c>
      <c r="AG22" s="1">
        <v>76.099999999999994</v>
      </c>
      <c r="AH22" s="1">
        <v>32.5</v>
      </c>
      <c r="AI22" s="1">
        <v>8.6999999999999993</v>
      </c>
      <c r="AJ22" s="1">
        <v>17</v>
      </c>
      <c r="AK22">
        <v>76</v>
      </c>
      <c r="AL22">
        <v>54.6</v>
      </c>
      <c r="AM22">
        <v>17.8</v>
      </c>
      <c r="AN22">
        <v>958</v>
      </c>
      <c r="AO22">
        <v>688</v>
      </c>
      <c r="AP22">
        <v>224</v>
      </c>
      <c r="AQ22">
        <f>AL22/AM22</f>
        <v>3.0674157303370788</v>
      </c>
      <c r="AR22">
        <v>1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3</v>
      </c>
      <c r="BE22" s="1">
        <v>1</v>
      </c>
      <c r="BF22" s="1">
        <v>1</v>
      </c>
      <c r="BG22" s="1">
        <v>31</v>
      </c>
      <c r="BH22">
        <f>48271.71+86.85+24024+2445+280+6361+1782+11160+1260+2288.6</f>
        <v>97959.16</v>
      </c>
      <c r="BI22" s="1">
        <v>1</v>
      </c>
      <c r="BJ22" s="1">
        <v>1</v>
      </c>
    </row>
    <row r="23" spans="1:62" x14ac:dyDescent="0.3">
      <c r="A23">
        <v>1</v>
      </c>
      <c r="B23">
        <v>22</v>
      </c>
      <c r="C23" s="1" t="s">
        <v>60</v>
      </c>
      <c r="D23">
        <v>0</v>
      </c>
      <c r="E23" s="2">
        <v>43514</v>
      </c>
      <c r="F23" t="s">
        <v>123</v>
      </c>
      <c r="G23" s="1">
        <v>0</v>
      </c>
      <c r="H23" s="1">
        <v>1</v>
      </c>
      <c r="I23" s="1">
        <v>2</v>
      </c>
      <c r="J23" s="1" t="s">
        <v>193</v>
      </c>
      <c r="K23" s="1">
        <v>29.38</v>
      </c>
      <c r="L23" s="1">
        <v>0</v>
      </c>
      <c r="M23" s="1">
        <v>1</v>
      </c>
      <c r="N23" s="1">
        <v>0</v>
      </c>
      <c r="O23" s="1">
        <v>1</v>
      </c>
      <c r="P23" s="1">
        <v>1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</v>
      </c>
      <c r="AA23" s="1">
        <v>0.75</v>
      </c>
      <c r="AB23" s="1">
        <v>14.89</v>
      </c>
      <c r="AC23" s="1">
        <v>50</v>
      </c>
      <c r="AD23">
        <f>AB23*100/AC23</f>
        <v>29.78</v>
      </c>
      <c r="AE23" s="1">
        <v>11</v>
      </c>
      <c r="AF23" s="1">
        <v>871</v>
      </c>
      <c r="AG23" s="1">
        <v>76.099999999999994</v>
      </c>
      <c r="AH23" s="1">
        <v>32.5</v>
      </c>
      <c r="AI23" s="1">
        <v>8.6999999999999993</v>
      </c>
      <c r="AJ23" s="1">
        <v>17</v>
      </c>
      <c r="AK23" s="1">
        <v>76</v>
      </c>
      <c r="AL23" s="1">
        <v>54.6</v>
      </c>
      <c r="AM23" s="1">
        <v>17.8</v>
      </c>
      <c r="AN23" s="1">
        <v>958</v>
      </c>
      <c r="AO23" s="1">
        <v>688</v>
      </c>
      <c r="AP23" s="1">
        <v>224</v>
      </c>
      <c r="AQ23">
        <f>AL23/AM23</f>
        <v>3.0674157303370788</v>
      </c>
      <c r="AR23" s="1">
        <v>1</v>
      </c>
      <c r="AS23" s="1">
        <v>1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3</v>
      </c>
      <c r="BE23" s="1">
        <v>1</v>
      </c>
      <c r="BF23" s="1">
        <v>1</v>
      </c>
      <c r="BG23" s="1">
        <v>31</v>
      </c>
      <c r="BH23">
        <f>48271.71+86.85+24024+2445+280+6361+1782+11160+1260+2288.6</f>
        <v>97959.16</v>
      </c>
      <c r="BI23" s="1">
        <v>1</v>
      </c>
      <c r="BJ23" s="1">
        <v>0</v>
      </c>
    </row>
    <row r="24" spans="1:62" x14ac:dyDescent="0.3">
      <c r="A24" s="1">
        <v>1</v>
      </c>
      <c r="B24" s="1">
        <v>23</v>
      </c>
      <c r="C24" s="1" t="s">
        <v>49</v>
      </c>
      <c r="D24">
        <v>0</v>
      </c>
      <c r="E24" s="2" t="s">
        <v>117</v>
      </c>
      <c r="F24" s="1" t="s">
        <v>118</v>
      </c>
      <c r="G24" s="1">
        <v>0</v>
      </c>
      <c r="H24" s="1">
        <v>0</v>
      </c>
      <c r="I24" s="1">
        <v>3</v>
      </c>
      <c r="J24" s="1" t="s">
        <v>184</v>
      </c>
      <c r="K24" s="1">
        <v>23.03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</v>
      </c>
      <c r="AA24">
        <v>1.4791999999999998</v>
      </c>
      <c r="AB24" s="1">
        <v>10.81</v>
      </c>
      <c r="AC24" s="1">
        <v>21</v>
      </c>
      <c r="AD24">
        <f>AB24*100/AC24</f>
        <v>51.476190476190474</v>
      </c>
      <c r="AE24" s="1">
        <v>5</v>
      </c>
      <c r="AF24" s="1">
        <v>1185</v>
      </c>
      <c r="AG24" s="1">
        <v>29.2</v>
      </c>
      <c r="AH24" s="1">
        <v>52.5</v>
      </c>
      <c r="AI24" s="1">
        <v>5</v>
      </c>
      <c r="AK24" s="1">
        <v>74</v>
      </c>
      <c r="AL24" s="1">
        <v>40.299999999999997</v>
      </c>
      <c r="AM24" s="1">
        <v>38.4</v>
      </c>
      <c r="AQ24">
        <f>AL24/AM24</f>
        <v>1.0494791666666667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4</v>
      </c>
      <c r="BH24" s="1">
        <v>6939.28</v>
      </c>
      <c r="BI24" s="1">
        <v>0</v>
      </c>
      <c r="BJ24" s="1">
        <v>0</v>
      </c>
    </row>
    <row r="25" spans="1:62" x14ac:dyDescent="0.3">
      <c r="A25" s="1">
        <v>2</v>
      </c>
      <c r="B25" s="1">
        <v>24</v>
      </c>
      <c r="C25" s="1" t="s">
        <v>112</v>
      </c>
      <c r="D25">
        <v>1</v>
      </c>
      <c r="E25" s="6">
        <v>43252</v>
      </c>
      <c r="F25" s="1" t="s">
        <v>85</v>
      </c>
      <c r="G25" s="1">
        <v>0</v>
      </c>
      <c r="H25" s="1">
        <v>0</v>
      </c>
      <c r="I25" s="1">
        <v>3</v>
      </c>
      <c r="J25" s="1" t="s">
        <v>187</v>
      </c>
      <c r="K25" s="1">
        <v>29.69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>
        <v>1.0385</v>
      </c>
      <c r="AK25" s="1">
        <v>79.7</v>
      </c>
      <c r="AL25" s="1">
        <v>37.200000000000003</v>
      </c>
      <c r="AM25" s="1">
        <v>39.799999999999997</v>
      </c>
      <c r="AN25" s="1">
        <v>797</v>
      </c>
      <c r="AO25" s="1">
        <v>372</v>
      </c>
      <c r="AP25" s="1">
        <v>398</v>
      </c>
      <c r="AQ25">
        <f>AL25/AM25</f>
        <v>0.93467336683417102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13</v>
      </c>
      <c r="BH25" s="1">
        <v>28797</v>
      </c>
      <c r="BI25" s="1">
        <v>1</v>
      </c>
      <c r="BJ25" s="1">
        <v>1</v>
      </c>
    </row>
    <row r="26" spans="1:62" x14ac:dyDescent="0.3">
      <c r="A26">
        <v>1</v>
      </c>
      <c r="B26">
        <v>25</v>
      </c>
      <c r="C26" s="1" t="s">
        <v>60</v>
      </c>
      <c r="D26">
        <v>0</v>
      </c>
      <c r="E26" s="2">
        <v>43509</v>
      </c>
      <c r="F26" t="s">
        <v>139</v>
      </c>
      <c r="G26" s="1">
        <v>0</v>
      </c>
      <c r="H26" s="1">
        <v>0</v>
      </c>
      <c r="I26" s="1">
        <v>2</v>
      </c>
      <c r="J26" s="1" t="s">
        <v>194</v>
      </c>
      <c r="K26" s="1">
        <v>24.46</v>
      </c>
      <c r="L26" s="1">
        <v>2</v>
      </c>
      <c r="M26" s="1">
        <v>1</v>
      </c>
      <c r="N26" s="1">
        <v>1</v>
      </c>
      <c r="O26" s="1">
        <v>0</v>
      </c>
      <c r="P26" s="1">
        <v>1</v>
      </c>
      <c r="Q26" s="1">
        <v>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</v>
      </c>
      <c r="AA26" s="1">
        <v>1.05</v>
      </c>
      <c r="AB26">
        <f>80/7.5</f>
        <v>10.666666666666666</v>
      </c>
      <c r="AC26" s="1">
        <v>21</v>
      </c>
      <c r="AD26">
        <f>AB26*100/AC26</f>
        <v>50.793650793650784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3</v>
      </c>
      <c r="BE26" s="1">
        <v>0</v>
      </c>
      <c r="BF26" s="1">
        <v>0</v>
      </c>
      <c r="BG26" s="1">
        <v>13</v>
      </c>
      <c r="BH26">
        <f>3427.54+820.08+5838+1846+254+288+754+606+650+90.3</f>
        <v>14573.919999999998</v>
      </c>
      <c r="BI26" s="1">
        <v>1</v>
      </c>
      <c r="BJ26" s="1">
        <v>0</v>
      </c>
    </row>
    <row r="27" spans="1:62" x14ac:dyDescent="0.3">
      <c r="A27" s="1">
        <v>1</v>
      </c>
      <c r="B27" s="1">
        <v>26</v>
      </c>
      <c r="C27" s="1" t="s">
        <v>57</v>
      </c>
      <c r="D27">
        <v>0</v>
      </c>
      <c r="E27" s="6">
        <v>42401</v>
      </c>
      <c r="F27" s="1" t="s">
        <v>61</v>
      </c>
      <c r="G27" s="1">
        <v>0</v>
      </c>
      <c r="H27" s="1">
        <v>1</v>
      </c>
      <c r="I27" s="1">
        <v>2</v>
      </c>
      <c r="J27" s="1" t="s">
        <v>195</v>
      </c>
      <c r="K27" s="1">
        <v>29.38</v>
      </c>
      <c r="L27" s="1">
        <v>0</v>
      </c>
      <c r="M27" s="1">
        <v>0</v>
      </c>
      <c r="N27" s="1">
        <v>0</v>
      </c>
      <c r="O27" s="1">
        <v>1</v>
      </c>
      <c r="P27" s="1">
        <v>1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1">
        <v>2</v>
      </c>
      <c r="AA27">
        <v>0.47902</v>
      </c>
      <c r="AB27" s="1">
        <v>12.65</v>
      </c>
      <c r="AC27" s="1">
        <v>60</v>
      </c>
      <c r="AD27">
        <f>AB27*100/AC27</f>
        <v>21.083333333333332</v>
      </c>
      <c r="AR27" s="1">
        <v>1</v>
      </c>
      <c r="AS27" s="1">
        <v>1</v>
      </c>
      <c r="AT27" s="1">
        <v>1</v>
      </c>
      <c r="AU27" s="1">
        <v>0</v>
      </c>
      <c r="AV27" s="1">
        <v>1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2</v>
      </c>
      <c r="BE27" s="1">
        <v>2</v>
      </c>
      <c r="BF27" s="1">
        <v>1</v>
      </c>
      <c r="BG27" s="1">
        <v>65</v>
      </c>
      <c r="BH27" s="1">
        <v>202426.31</v>
      </c>
      <c r="BI27" s="1">
        <v>1</v>
      </c>
      <c r="BJ27" s="1">
        <v>1</v>
      </c>
    </row>
    <row r="28" spans="1:62" x14ac:dyDescent="0.3">
      <c r="A28" s="1">
        <v>1</v>
      </c>
      <c r="B28">
        <v>27</v>
      </c>
      <c r="C28" s="1" t="s">
        <v>54</v>
      </c>
      <c r="D28">
        <v>0</v>
      </c>
      <c r="E28" s="6">
        <v>42780</v>
      </c>
      <c r="F28" s="1" t="s">
        <v>82</v>
      </c>
      <c r="G28" s="1">
        <v>0</v>
      </c>
      <c r="H28" s="1">
        <v>0</v>
      </c>
      <c r="I28" s="1">
        <v>2</v>
      </c>
      <c r="J28" s="1" t="s">
        <v>190</v>
      </c>
      <c r="K28" s="1">
        <v>23.9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1</v>
      </c>
      <c r="AA28">
        <v>1.82013</v>
      </c>
      <c r="AK28" s="1">
        <v>93.6</v>
      </c>
      <c r="AL28" s="1">
        <v>51.4</v>
      </c>
      <c r="AM28" s="1">
        <v>40</v>
      </c>
      <c r="AN28" s="1">
        <v>1704</v>
      </c>
      <c r="AO28" s="1">
        <v>935</v>
      </c>
      <c r="AP28" s="1">
        <v>728</v>
      </c>
      <c r="AQ28">
        <f>AL28/AM28</f>
        <v>1.2849999999999999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7</v>
      </c>
      <c r="BH28" s="1">
        <v>7105.5</v>
      </c>
      <c r="BI28" s="1">
        <v>0</v>
      </c>
      <c r="BJ28" s="1">
        <v>0</v>
      </c>
    </row>
    <row r="29" spans="1:62" x14ac:dyDescent="0.3">
      <c r="A29">
        <v>1</v>
      </c>
      <c r="B29" s="1">
        <v>28</v>
      </c>
      <c r="C29" s="1" t="s">
        <v>60</v>
      </c>
      <c r="D29">
        <v>0</v>
      </c>
      <c r="E29" s="2">
        <v>43494</v>
      </c>
      <c r="F29" t="s">
        <v>121</v>
      </c>
      <c r="G29" s="1">
        <v>0</v>
      </c>
      <c r="H29" s="1">
        <v>0</v>
      </c>
      <c r="I29" s="1">
        <v>2</v>
      </c>
      <c r="J29" s="1" t="s">
        <v>197</v>
      </c>
      <c r="K29" s="1">
        <v>20.76</v>
      </c>
      <c r="L29" s="1">
        <v>0</v>
      </c>
      <c r="M29" s="1">
        <v>1</v>
      </c>
      <c r="N29" s="1">
        <v>1</v>
      </c>
      <c r="O29" s="1">
        <v>0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</v>
      </c>
      <c r="AA29" s="1">
        <v>1.04</v>
      </c>
      <c r="AB29" s="1">
        <v>10.42</v>
      </c>
      <c r="AC29" s="1">
        <v>21</v>
      </c>
      <c r="AD29">
        <f>AB29*100/AC29</f>
        <v>49.61904761904762</v>
      </c>
      <c r="AK29">
        <v>52.7</v>
      </c>
      <c r="AL29">
        <v>46</v>
      </c>
      <c r="AM29">
        <v>6.5</v>
      </c>
      <c r="AQ29">
        <f>AL29/AM29</f>
        <v>7.0769230769230766</v>
      </c>
      <c r="AR29">
        <v>1</v>
      </c>
      <c r="AS29">
        <v>0</v>
      </c>
      <c r="AT29">
        <v>1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1</v>
      </c>
      <c r="BE29" s="1">
        <v>0</v>
      </c>
      <c r="BF29" s="1">
        <v>0</v>
      </c>
      <c r="BG29" s="1">
        <v>14</v>
      </c>
      <c r="BH29">
        <f>2336.03+64.34+6125+632+95+1350+567+675+31.5</f>
        <v>11875.87</v>
      </c>
      <c r="BI29" s="1">
        <v>1</v>
      </c>
      <c r="BJ29" s="1">
        <v>0</v>
      </c>
    </row>
    <row r="30" spans="1:62" x14ac:dyDescent="0.3">
      <c r="A30" s="1">
        <v>1</v>
      </c>
      <c r="B30" s="1">
        <v>29</v>
      </c>
      <c r="C30" s="1" t="s">
        <v>60</v>
      </c>
      <c r="D30">
        <v>0</v>
      </c>
      <c r="E30" s="6">
        <v>43171</v>
      </c>
      <c r="F30" s="1" t="s">
        <v>85</v>
      </c>
      <c r="G30" s="1">
        <v>0</v>
      </c>
      <c r="H30" s="1">
        <v>0</v>
      </c>
      <c r="I30" s="1">
        <v>2</v>
      </c>
      <c r="J30" s="1" t="s">
        <v>194</v>
      </c>
      <c r="K30" s="1">
        <v>24.96</v>
      </c>
      <c r="L30" s="1">
        <v>0</v>
      </c>
      <c r="M30" s="1">
        <v>0</v>
      </c>
      <c r="N30" s="1">
        <v>1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1</v>
      </c>
      <c r="AA30">
        <v>0.71050000000000002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1</v>
      </c>
      <c r="BE30" s="1">
        <v>0</v>
      </c>
      <c r="BF30" s="1">
        <v>0</v>
      </c>
      <c r="BG30" s="1">
        <v>9</v>
      </c>
      <c r="BH30" s="1">
        <v>11436.02</v>
      </c>
      <c r="BI30" s="1">
        <v>0</v>
      </c>
      <c r="BJ30" s="1">
        <v>0</v>
      </c>
    </row>
    <row r="31" spans="1:62" x14ac:dyDescent="0.3">
      <c r="A31" s="1">
        <v>1</v>
      </c>
      <c r="B31">
        <v>30</v>
      </c>
      <c r="C31" s="1" t="s">
        <v>51</v>
      </c>
      <c r="D31">
        <v>0</v>
      </c>
      <c r="E31" s="6">
        <v>42557</v>
      </c>
      <c r="F31" s="1" t="s">
        <v>53</v>
      </c>
      <c r="G31" s="1">
        <v>1</v>
      </c>
      <c r="H31" s="1">
        <v>0</v>
      </c>
      <c r="I31" s="1">
        <v>2</v>
      </c>
      <c r="J31" s="1" t="s">
        <v>194</v>
      </c>
      <c r="K31" s="1">
        <v>18.309999999999999</v>
      </c>
      <c r="L31" s="1">
        <v>0</v>
      </c>
      <c r="M31" s="1">
        <v>1</v>
      </c>
      <c r="N31" s="1">
        <v>1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2</v>
      </c>
      <c r="AA31">
        <v>1.1286</v>
      </c>
      <c r="AB31" s="1">
        <v>12.97</v>
      </c>
      <c r="AC31" s="1">
        <v>21</v>
      </c>
      <c r="AD31">
        <f>AB31*100/AC31</f>
        <v>61.761904761904759</v>
      </c>
      <c r="AE31" s="1">
        <v>5</v>
      </c>
      <c r="AF31" s="1">
        <v>635</v>
      </c>
      <c r="AG31" s="1">
        <v>7.81</v>
      </c>
      <c r="AH31" s="1">
        <v>42.5</v>
      </c>
      <c r="AI31" s="1">
        <v>5</v>
      </c>
      <c r="AK31" s="1">
        <v>83.8</v>
      </c>
      <c r="AL31" s="1">
        <v>56.1</v>
      </c>
      <c r="AM31" s="1">
        <v>27</v>
      </c>
      <c r="AQ31">
        <f>AL31/AM31</f>
        <v>2.0777777777777779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1</v>
      </c>
      <c r="BE31" s="1">
        <v>0</v>
      </c>
      <c r="BF31" s="1">
        <v>0</v>
      </c>
      <c r="BG31" s="1">
        <v>3</v>
      </c>
      <c r="BH31" s="1">
        <v>7235.2</v>
      </c>
      <c r="BI31" s="1">
        <v>0</v>
      </c>
      <c r="BJ31" s="1">
        <v>0</v>
      </c>
    </row>
    <row r="32" spans="1:62" x14ac:dyDescent="0.3">
      <c r="A32">
        <v>1</v>
      </c>
      <c r="B32" s="1">
        <v>31</v>
      </c>
      <c r="C32" s="1" t="s">
        <v>60</v>
      </c>
      <c r="D32">
        <v>0</v>
      </c>
      <c r="E32" s="2">
        <v>43497</v>
      </c>
      <c r="F32" t="s">
        <v>139</v>
      </c>
      <c r="G32" s="1">
        <v>0</v>
      </c>
      <c r="H32" s="1">
        <v>0</v>
      </c>
      <c r="I32" s="1">
        <v>2</v>
      </c>
      <c r="J32" s="1" t="s">
        <v>194</v>
      </c>
      <c r="K32" s="1">
        <v>18.29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</v>
      </c>
      <c r="AA32" s="1">
        <v>0.52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1</v>
      </c>
      <c r="BE32" s="1">
        <v>0</v>
      </c>
      <c r="BF32" s="1">
        <v>0</v>
      </c>
      <c r="BG32" s="1">
        <v>20</v>
      </c>
      <c r="BH32">
        <f>6496.13+660+7849+1219+70+397+144+1160+1010+1000+727.65</f>
        <v>20732.780000000002</v>
      </c>
      <c r="BI32" s="1">
        <v>1</v>
      </c>
      <c r="BJ32" s="1">
        <v>0</v>
      </c>
    </row>
    <row r="33" spans="1:62" x14ac:dyDescent="0.3">
      <c r="A33" s="1">
        <v>1</v>
      </c>
      <c r="B33">
        <v>32</v>
      </c>
      <c r="C33" s="1" t="s">
        <v>110</v>
      </c>
      <c r="D33">
        <v>0</v>
      </c>
      <c r="E33" s="6">
        <v>43240</v>
      </c>
      <c r="F33" s="1" t="s">
        <v>61</v>
      </c>
      <c r="G33" s="1">
        <v>0</v>
      </c>
      <c r="H33" s="1">
        <v>1</v>
      </c>
      <c r="I33" s="1">
        <v>3</v>
      </c>
      <c r="J33" s="1" t="s">
        <v>190</v>
      </c>
      <c r="K33" s="1">
        <v>29.41</v>
      </c>
      <c r="L33" s="1">
        <v>1</v>
      </c>
      <c r="M33" s="1">
        <v>0</v>
      </c>
      <c r="N33" s="1">
        <v>0</v>
      </c>
      <c r="O33" s="1">
        <v>0</v>
      </c>
      <c r="P33" s="1">
        <v>1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</v>
      </c>
      <c r="AA33">
        <v>0.42863999999999997</v>
      </c>
      <c r="AB33" s="1">
        <v>10.83</v>
      </c>
      <c r="AC33" s="1">
        <v>61</v>
      </c>
      <c r="AD33">
        <f>AB33*100/AC33</f>
        <v>17.754098360655739</v>
      </c>
      <c r="AE33" s="1">
        <v>5</v>
      </c>
      <c r="AF33" s="1">
        <v>1329</v>
      </c>
      <c r="AG33" s="1">
        <v>85</v>
      </c>
      <c r="AH33" s="1">
        <v>36.799999999999997</v>
      </c>
      <c r="AI33" s="1">
        <v>26.7</v>
      </c>
      <c r="AJ33" s="1">
        <v>13</v>
      </c>
      <c r="AK33" s="1">
        <v>36.6</v>
      </c>
      <c r="AL33" s="1">
        <v>22.3</v>
      </c>
      <c r="AM33" s="1">
        <v>11.3</v>
      </c>
      <c r="AN33" s="1">
        <v>157</v>
      </c>
      <c r="AO33" s="1">
        <v>96</v>
      </c>
      <c r="AP33" s="1">
        <v>49</v>
      </c>
      <c r="AQ33">
        <f>AL33/AM33</f>
        <v>1.9734513274336283</v>
      </c>
      <c r="AR33" s="1">
        <v>1</v>
      </c>
      <c r="AS33" s="1">
        <v>1</v>
      </c>
      <c r="AT33" s="1">
        <v>1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2</v>
      </c>
      <c r="BE33" s="1">
        <v>2</v>
      </c>
      <c r="BF33" s="1">
        <v>1</v>
      </c>
      <c r="BG33" s="1">
        <v>75</v>
      </c>
      <c r="BH33" s="1">
        <v>289764.96000000002</v>
      </c>
      <c r="BI33" s="1">
        <v>0</v>
      </c>
      <c r="BJ33" s="1">
        <v>1</v>
      </c>
    </row>
    <row r="34" spans="1:62" x14ac:dyDescent="0.3">
      <c r="A34" s="1">
        <v>1</v>
      </c>
      <c r="B34" s="1">
        <v>33</v>
      </c>
      <c r="C34" s="1" t="s">
        <v>57</v>
      </c>
      <c r="D34">
        <v>0</v>
      </c>
      <c r="E34" s="6">
        <v>42165</v>
      </c>
      <c r="F34" s="1" t="s">
        <v>56</v>
      </c>
      <c r="G34" s="1">
        <v>0</v>
      </c>
      <c r="H34" s="1">
        <v>0</v>
      </c>
      <c r="I34" s="1">
        <v>2</v>
      </c>
      <c r="J34" s="1" t="s">
        <v>191</v>
      </c>
      <c r="K34" s="1">
        <v>28.88</v>
      </c>
      <c r="L34" s="1">
        <v>0</v>
      </c>
      <c r="M34" s="1">
        <v>1</v>
      </c>
      <c r="N34" s="1">
        <v>1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2</v>
      </c>
      <c r="AA34">
        <v>1.0535699999999999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 s="1">
        <v>1</v>
      </c>
      <c r="BE34" s="1">
        <v>0</v>
      </c>
      <c r="BF34" s="1">
        <v>0</v>
      </c>
      <c r="BG34" s="1">
        <v>7</v>
      </c>
      <c r="BH34" s="1">
        <v>7462.19</v>
      </c>
      <c r="BI34" s="1">
        <v>0</v>
      </c>
      <c r="BJ34" s="1">
        <v>0</v>
      </c>
    </row>
    <row r="35" spans="1:62" x14ac:dyDescent="0.3">
      <c r="A35" s="1">
        <v>1</v>
      </c>
      <c r="B35" s="1">
        <v>34</v>
      </c>
      <c r="C35" s="1" t="s">
        <v>87</v>
      </c>
      <c r="D35">
        <v>0</v>
      </c>
      <c r="E35" s="6">
        <v>43111</v>
      </c>
      <c r="F35" s="1" t="s">
        <v>99</v>
      </c>
      <c r="G35" s="1">
        <v>0</v>
      </c>
      <c r="H35" s="1">
        <v>0</v>
      </c>
      <c r="I35" s="1">
        <v>2</v>
      </c>
      <c r="J35" s="1" t="s">
        <v>193</v>
      </c>
      <c r="K35" s="1">
        <v>23.88</v>
      </c>
      <c r="L35" s="1">
        <v>0</v>
      </c>
      <c r="M35" s="1">
        <v>1</v>
      </c>
      <c r="N35" s="1">
        <v>1</v>
      </c>
      <c r="O35" s="1">
        <v>0</v>
      </c>
      <c r="P35" s="1">
        <v>1</v>
      </c>
      <c r="Q35" s="1">
        <v>1</v>
      </c>
      <c r="R35" s="1">
        <v>1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1">
        <v>0</v>
      </c>
      <c r="Z35" s="1">
        <v>2</v>
      </c>
      <c r="AA35">
        <v>0.57455999999999996</v>
      </c>
      <c r="AE35" s="1">
        <v>5</v>
      </c>
      <c r="AF35" s="1">
        <v>1006</v>
      </c>
      <c r="AG35" s="1">
        <v>2</v>
      </c>
      <c r="AH35" s="1">
        <v>18.7</v>
      </c>
      <c r="AI35" s="1">
        <v>5</v>
      </c>
      <c r="AJ35" s="1">
        <v>9.6199999999999992</v>
      </c>
      <c r="AK35" s="1">
        <v>59.1</v>
      </c>
      <c r="AL35" s="1">
        <v>41.9</v>
      </c>
      <c r="AM35" s="1">
        <v>24</v>
      </c>
      <c r="AQ35">
        <f>AL35/AM35</f>
        <v>1.7458333333333333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1</v>
      </c>
      <c r="BE35" s="1">
        <v>0</v>
      </c>
      <c r="BF35" s="1">
        <v>0</v>
      </c>
      <c r="BG35" s="1">
        <v>9</v>
      </c>
      <c r="BH35" s="1">
        <v>13024.96</v>
      </c>
      <c r="BI35" s="1">
        <v>1</v>
      </c>
      <c r="BJ35" s="1">
        <v>0</v>
      </c>
    </row>
    <row r="36" spans="1:62" x14ac:dyDescent="0.3">
      <c r="A36" s="1">
        <v>1</v>
      </c>
      <c r="B36">
        <v>35</v>
      </c>
      <c r="C36" s="1" t="s">
        <v>54</v>
      </c>
      <c r="D36">
        <v>0</v>
      </c>
      <c r="E36" s="6">
        <v>42557</v>
      </c>
      <c r="F36" s="1" t="s">
        <v>53</v>
      </c>
      <c r="G36" s="1">
        <v>0</v>
      </c>
      <c r="H36" s="1">
        <v>1</v>
      </c>
      <c r="I36" s="1">
        <v>3</v>
      </c>
      <c r="J36" s="1" t="s">
        <v>183</v>
      </c>
      <c r="K36" s="1">
        <v>31.75</v>
      </c>
      <c r="L36" s="1">
        <v>0</v>
      </c>
      <c r="M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</v>
      </c>
      <c r="AA36">
        <v>1.4220900000000001</v>
      </c>
      <c r="AB36">
        <v>8.27</v>
      </c>
      <c r="AC36" s="1">
        <v>21</v>
      </c>
      <c r="AD36">
        <f>AB36*100/AC36</f>
        <v>39.38095238095238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6</v>
      </c>
      <c r="BH36" s="1">
        <v>7499.48</v>
      </c>
      <c r="BI36" s="1">
        <v>0</v>
      </c>
      <c r="BJ36" s="1">
        <v>1</v>
      </c>
    </row>
    <row r="37" spans="1:62" x14ac:dyDescent="0.3">
      <c r="A37" s="1">
        <v>1</v>
      </c>
      <c r="B37" s="1">
        <v>36</v>
      </c>
      <c r="C37" s="1" t="s">
        <v>110</v>
      </c>
      <c r="D37">
        <v>0</v>
      </c>
      <c r="E37" s="6">
        <v>43265</v>
      </c>
      <c r="F37" s="1" t="s">
        <v>85</v>
      </c>
      <c r="G37" s="1">
        <v>0</v>
      </c>
      <c r="H37" s="1">
        <v>0</v>
      </c>
      <c r="I37" s="1">
        <v>3</v>
      </c>
      <c r="J37" s="1" t="s">
        <v>185</v>
      </c>
      <c r="K37" s="1">
        <v>25.93</v>
      </c>
      <c r="L37" s="1">
        <v>1</v>
      </c>
      <c r="M37" s="1">
        <v>1</v>
      </c>
      <c r="N37" s="1">
        <v>0</v>
      </c>
      <c r="O37" s="1">
        <v>1</v>
      </c>
      <c r="P37" s="1">
        <v>1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</v>
      </c>
      <c r="AA37">
        <v>0.16574999999999998</v>
      </c>
      <c r="AB37" s="1">
        <v>8.26</v>
      </c>
      <c r="AC37" s="1">
        <v>21</v>
      </c>
      <c r="AD37">
        <f>AB37*100/AC37</f>
        <v>39.333333333333336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</v>
      </c>
      <c r="BE37" s="1">
        <v>1</v>
      </c>
      <c r="BF37" s="1">
        <v>0</v>
      </c>
      <c r="BG37" s="1">
        <v>37</v>
      </c>
      <c r="BH37" s="1">
        <v>99096.82</v>
      </c>
      <c r="BI37" s="1">
        <v>0</v>
      </c>
      <c r="BJ37" s="1">
        <v>0</v>
      </c>
    </row>
    <row r="38" spans="1:62" x14ac:dyDescent="0.3">
      <c r="A38" s="1">
        <v>1</v>
      </c>
      <c r="B38">
        <v>37</v>
      </c>
      <c r="C38" s="1" t="s">
        <v>71</v>
      </c>
      <c r="D38">
        <v>0</v>
      </c>
      <c r="E38" s="6">
        <v>43136</v>
      </c>
      <c r="F38" s="1" t="s">
        <v>93</v>
      </c>
      <c r="G38" s="1">
        <v>0</v>
      </c>
      <c r="H38" s="1">
        <v>0</v>
      </c>
      <c r="I38" s="1">
        <v>2</v>
      </c>
      <c r="J38" s="1" t="s">
        <v>193</v>
      </c>
      <c r="K38" s="1">
        <v>20.45</v>
      </c>
      <c r="L38" s="1">
        <v>0</v>
      </c>
      <c r="M38" s="1">
        <v>1</v>
      </c>
      <c r="N38" s="1">
        <v>1</v>
      </c>
      <c r="O38" s="1">
        <v>0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1</v>
      </c>
      <c r="X38" s="1">
        <v>0</v>
      </c>
      <c r="Y38" s="1">
        <v>0</v>
      </c>
      <c r="Z38" s="1">
        <v>2</v>
      </c>
      <c r="AA38">
        <v>0.65189999999999992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1</v>
      </c>
      <c r="BE38" s="1">
        <v>0</v>
      </c>
      <c r="BF38" s="1">
        <v>0</v>
      </c>
      <c r="BG38" s="1">
        <v>18</v>
      </c>
      <c r="BH38" s="1">
        <v>27268.82</v>
      </c>
      <c r="BI38" s="1">
        <v>0</v>
      </c>
      <c r="BJ38" s="1">
        <v>0</v>
      </c>
    </row>
    <row r="39" spans="1:62" x14ac:dyDescent="0.3">
      <c r="A39">
        <v>1</v>
      </c>
      <c r="B39" s="1">
        <v>38</v>
      </c>
      <c r="C39" s="1" t="s">
        <v>60</v>
      </c>
      <c r="D39">
        <v>0</v>
      </c>
      <c r="E39" s="2">
        <v>43513</v>
      </c>
      <c r="F39" t="s">
        <v>64</v>
      </c>
      <c r="G39" s="1">
        <v>0</v>
      </c>
      <c r="H39" s="1">
        <v>0</v>
      </c>
      <c r="I39" s="1">
        <v>2</v>
      </c>
      <c r="J39" s="1" t="s">
        <v>195</v>
      </c>
      <c r="K39" s="1">
        <v>21.22</v>
      </c>
      <c r="L39" s="1">
        <v>0</v>
      </c>
      <c r="M39" s="1">
        <v>1</v>
      </c>
      <c r="N39" s="1">
        <v>1</v>
      </c>
      <c r="O39" s="1">
        <v>0</v>
      </c>
      <c r="P39" s="1">
        <v>1</v>
      </c>
      <c r="Q39" s="1">
        <v>1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</v>
      </c>
      <c r="AA39" s="1">
        <v>1.02</v>
      </c>
      <c r="AB39" s="1">
        <v>11.81</v>
      </c>
      <c r="AC39" s="1">
        <v>21</v>
      </c>
      <c r="AD39">
        <f>AB39*100/AC39</f>
        <v>56.238095238095241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2</v>
      </c>
      <c r="BE39" s="1">
        <v>0</v>
      </c>
      <c r="BF39" s="1">
        <v>0</v>
      </c>
      <c r="BG39" s="1">
        <v>47</v>
      </c>
      <c r="BH39">
        <f>18557.21+28.95+14023+5078+1934+2697+2733+2300+624.33</f>
        <v>47975.490000000005</v>
      </c>
      <c r="BI39" s="1">
        <v>0</v>
      </c>
      <c r="BJ39" s="1">
        <v>0</v>
      </c>
    </row>
    <row r="40" spans="1:62" x14ac:dyDescent="0.3">
      <c r="A40">
        <v>1</v>
      </c>
      <c r="B40" s="1">
        <v>39</v>
      </c>
      <c r="C40" t="s">
        <v>69</v>
      </c>
      <c r="D40">
        <v>0</v>
      </c>
      <c r="E40" s="2" t="s">
        <v>160</v>
      </c>
      <c r="F40" s="4" t="s">
        <v>53</v>
      </c>
      <c r="G40" s="1">
        <v>0</v>
      </c>
      <c r="H40" s="1">
        <v>0</v>
      </c>
      <c r="I40" s="1">
        <v>3</v>
      </c>
      <c r="J40" s="1" t="s">
        <v>184</v>
      </c>
      <c r="K40" s="1">
        <v>24.36</v>
      </c>
      <c r="L40" s="1">
        <v>1</v>
      </c>
      <c r="M40" s="1">
        <v>1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1</v>
      </c>
      <c r="AA40" s="1">
        <v>1.64</v>
      </c>
      <c r="AB40" s="1">
        <v>12.14</v>
      </c>
      <c r="AC40" s="1">
        <v>21</v>
      </c>
      <c r="AD40">
        <f>AB40*100/AC40</f>
        <v>57.80952380952381</v>
      </c>
      <c r="AK40">
        <v>59.7</v>
      </c>
      <c r="AL40">
        <v>35.700000000000003</v>
      </c>
      <c r="AM40">
        <v>21</v>
      </c>
      <c r="AQ40">
        <f>AL40/AM40</f>
        <v>1.7000000000000002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 s="1">
        <v>0</v>
      </c>
      <c r="BF40" s="1">
        <v>0</v>
      </c>
      <c r="BG40" s="1">
        <v>6</v>
      </c>
      <c r="BH40">
        <f>1612.27+4712+308+37+32+319+281+275</f>
        <v>7576.27</v>
      </c>
      <c r="BI40" s="1">
        <v>0</v>
      </c>
      <c r="BJ40" s="1">
        <v>0</v>
      </c>
    </row>
    <row r="41" spans="1:62" x14ac:dyDescent="0.3">
      <c r="A41">
        <v>1</v>
      </c>
      <c r="B41">
        <v>40</v>
      </c>
      <c r="C41" s="1" t="s">
        <v>60</v>
      </c>
      <c r="D41">
        <v>0</v>
      </c>
      <c r="E41" s="2">
        <v>43489</v>
      </c>
      <c r="F41" t="s">
        <v>131</v>
      </c>
      <c r="G41" s="1">
        <v>0</v>
      </c>
      <c r="H41" s="1">
        <v>0</v>
      </c>
      <c r="I41" s="1">
        <v>4</v>
      </c>
      <c r="J41" s="1" t="s">
        <v>183</v>
      </c>
      <c r="K41" s="1">
        <v>19.43</v>
      </c>
      <c r="L41" s="1">
        <v>0</v>
      </c>
      <c r="M41" s="1">
        <v>1</v>
      </c>
      <c r="N41" s="1">
        <v>1</v>
      </c>
      <c r="O41" s="1">
        <v>0</v>
      </c>
      <c r="P41" s="1">
        <v>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1</v>
      </c>
      <c r="Z41" s="1">
        <v>1</v>
      </c>
      <c r="AA41" s="1">
        <v>0.59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 s="1">
        <v>0</v>
      </c>
      <c r="BF41" s="1">
        <v>0</v>
      </c>
      <c r="BG41" s="1">
        <v>11</v>
      </c>
      <c r="BH41">
        <f>1963.56+413.44+4402+280+10+174+126+150+78.75</f>
        <v>7597.75</v>
      </c>
      <c r="BI41" s="1">
        <v>0</v>
      </c>
      <c r="BJ41" s="1">
        <v>0</v>
      </c>
    </row>
    <row r="42" spans="1:62" x14ac:dyDescent="0.3">
      <c r="A42" s="1">
        <v>1</v>
      </c>
      <c r="B42" s="1">
        <v>41</v>
      </c>
      <c r="C42" s="1" t="s">
        <v>55</v>
      </c>
      <c r="D42">
        <v>0</v>
      </c>
      <c r="E42" s="6">
        <v>42157</v>
      </c>
      <c r="F42" s="1" t="s">
        <v>56</v>
      </c>
      <c r="G42" s="1">
        <v>0</v>
      </c>
      <c r="H42" s="1">
        <v>0</v>
      </c>
      <c r="I42" s="1">
        <v>3</v>
      </c>
      <c r="J42" s="1" t="s">
        <v>188</v>
      </c>
      <c r="K42" s="1">
        <v>20.57</v>
      </c>
      <c r="L42" s="1">
        <v>1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2</v>
      </c>
      <c r="AA42">
        <v>1.2383999999999999</v>
      </c>
      <c r="AE42" s="1">
        <v>5</v>
      </c>
      <c r="AF42" s="1">
        <v>530</v>
      </c>
      <c r="AG42" s="1">
        <v>3.55</v>
      </c>
      <c r="AH42" s="1">
        <v>65.8</v>
      </c>
      <c r="AI42" s="1">
        <v>10</v>
      </c>
      <c r="AJ42" s="1">
        <v>8.3000000000000007</v>
      </c>
      <c r="AK42" s="1">
        <v>76</v>
      </c>
      <c r="AL42" s="1">
        <v>36.5</v>
      </c>
      <c r="AM42" s="1">
        <v>29.4</v>
      </c>
      <c r="AQ42">
        <f>AL42/AM42</f>
        <v>1.2414965986394559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 s="1">
        <v>0</v>
      </c>
      <c r="BE42" s="1">
        <v>0</v>
      </c>
      <c r="BF42" s="1">
        <v>0</v>
      </c>
      <c r="BG42" s="1">
        <v>3</v>
      </c>
      <c r="BH42" s="1">
        <v>7606.04</v>
      </c>
      <c r="BI42" s="1">
        <v>1</v>
      </c>
      <c r="BJ42" s="1">
        <v>0</v>
      </c>
    </row>
    <row r="43" spans="1:62" x14ac:dyDescent="0.3">
      <c r="A43" s="1">
        <v>1</v>
      </c>
      <c r="B43">
        <v>42</v>
      </c>
      <c r="C43" s="1" t="s">
        <v>57</v>
      </c>
      <c r="D43">
        <v>0</v>
      </c>
      <c r="E43" s="6">
        <v>43115</v>
      </c>
      <c r="F43" s="1" t="s">
        <v>64</v>
      </c>
      <c r="G43" s="1">
        <v>0</v>
      </c>
      <c r="H43" s="1">
        <v>0</v>
      </c>
      <c r="I43" s="1">
        <v>3</v>
      </c>
      <c r="J43" s="1" t="s">
        <v>189</v>
      </c>
      <c r="K43" s="1">
        <v>22.04</v>
      </c>
      <c r="L43" s="1">
        <v>0</v>
      </c>
      <c r="M43" s="1">
        <v>1</v>
      </c>
      <c r="N43" s="1">
        <v>1</v>
      </c>
      <c r="O43" s="1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2</v>
      </c>
      <c r="AA43">
        <v>2.2740799999999997</v>
      </c>
      <c r="AB43" s="1">
        <v>14.02</v>
      </c>
      <c r="AC43" s="1">
        <v>21</v>
      </c>
      <c r="AD43">
        <f>AB43*100/AC43</f>
        <v>66.761904761904759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5</v>
      </c>
      <c r="BH43" s="1">
        <v>7610.12</v>
      </c>
      <c r="BI43" s="1">
        <v>1</v>
      </c>
      <c r="BJ43" s="1">
        <v>0</v>
      </c>
    </row>
    <row r="44" spans="1:62" x14ac:dyDescent="0.3">
      <c r="A44">
        <v>1</v>
      </c>
      <c r="B44" s="1">
        <v>43</v>
      </c>
      <c r="C44" s="1" t="s">
        <v>60</v>
      </c>
      <c r="D44">
        <v>0</v>
      </c>
      <c r="E44" s="2">
        <v>43513</v>
      </c>
      <c r="F44" t="s">
        <v>56</v>
      </c>
      <c r="G44" s="1">
        <v>0</v>
      </c>
      <c r="H44" s="1">
        <v>0</v>
      </c>
      <c r="I44" s="1">
        <v>2</v>
      </c>
      <c r="J44" s="1" t="s">
        <v>196</v>
      </c>
      <c r="K44" s="1">
        <v>26.67</v>
      </c>
      <c r="L44" s="1">
        <v>0</v>
      </c>
      <c r="M44" s="1">
        <v>1</v>
      </c>
      <c r="N44" s="1">
        <v>1</v>
      </c>
      <c r="O44" s="1">
        <v>0</v>
      </c>
      <c r="P44" s="1">
        <v>1</v>
      </c>
      <c r="Q44" s="1">
        <v>1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1">
        <v>0</v>
      </c>
      <c r="Z44" s="1">
        <v>2</v>
      </c>
      <c r="AA44" s="1">
        <v>0.5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1</v>
      </c>
      <c r="BC44">
        <v>0</v>
      </c>
      <c r="BD44">
        <v>1</v>
      </c>
      <c r="BE44" s="1">
        <v>0</v>
      </c>
      <c r="BF44" s="1">
        <v>0</v>
      </c>
      <c r="BG44" s="1">
        <v>32</v>
      </c>
      <c r="BH44">
        <f>25618.5+28.95+5394+715+70+763+286+1856+1394+1600+442.79</f>
        <v>38168.239999999998</v>
      </c>
      <c r="BI44" s="1">
        <v>0</v>
      </c>
      <c r="BJ44" s="1">
        <v>0</v>
      </c>
    </row>
    <row r="45" spans="1:62" x14ac:dyDescent="0.3">
      <c r="A45" s="1">
        <v>1</v>
      </c>
      <c r="B45" s="1">
        <v>44</v>
      </c>
      <c r="C45" s="1" t="s">
        <v>71</v>
      </c>
      <c r="D45">
        <v>0</v>
      </c>
      <c r="E45" s="6">
        <v>43140</v>
      </c>
      <c r="F45" s="1" t="s">
        <v>121</v>
      </c>
      <c r="G45" s="1">
        <v>0</v>
      </c>
      <c r="H45" s="1">
        <v>0</v>
      </c>
      <c r="I45" s="1">
        <v>2</v>
      </c>
      <c r="J45" s="1" t="s">
        <v>196</v>
      </c>
      <c r="K45" s="1">
        <v>21.4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1">
        <v>0</v>
      </c>
      <c r="Z45" s="1">
        <v>1</v>
      </c>
      <c r="AA45">
        <v>1.20764</v>
      </c>
      <c r="AR45">
        <v>1</v>
      </c>
      <c r="AS45">
        <v>0</v>
      </c>
      <c r="AT45">
        <v>1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 s="1">
        <v>2</v>
      </c>
      <c r="BE45" s="1">
        <v>0</v>
      </c>
      <c r="BF45" s="1">
        <v>0</v>
      </c>
      <c r="BG45" s="1">
        <v>39</v>
      </c>
      <c r="BH45" s="1">
        <v>12824.02</v>
      </c>
      <c r="BI45" s="1">
        <v>1</v>
      </c>
      <c r="BJ45" s="1">
        <v>0</v>
      </c>
    </row>
    <row r="46" spans="1:62" x14ac:dyDescent="0.3">
      <c r="A46" s="1">
        <v>1</v>
      </c>
      <c r="B46">
        <v>45</v>
      </c>
      <c r="C46" s="1" t="s">
        <v>60</v>
      </c>
      <c r="D46">
        <v>0</v>
      </c>
      <c r="E46" s="6">
        <v>43150</v>
      </c>
      <c r="F46" s="1" t="s">
        <v>53</v>
      </c>
      <c r="G46" s="1">
        <v>0</v>
      </c>
      <c r="H46" s="1">
        <v>0</v>
      </c>
      <c r="I46" s="1">
        <v>2</v>
      </c>
      <c r="J46" s="1" t="s">
        <v>192</v>
      </c>
      <c r="K46" s="1">
        <v>26.04</v>
      </c>
      <c r="L46" s="1">
        <v>1</v>
      </c>
      <c r="M46" s="1">
        <v>1</v>
      </c>
      <c r="N46" s="1">
        <v>1</v>
      </c>
      <c r="O46" s="1">
        <v>1</v>
      </c>
      <c r="P46" s="1">
        <v>0</v>
      </c>
      <c r="Q46" s="1">
        <v>0</v>
      </c>
      <c r="R46" s="1">
        <v>0</v>
      </c>
      <c r="S46" s="1">
        <v>0</v>
      </c>
      <c r="T46" s="1">
        <v>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2</v>
      </c>
      <c r="AA46">
        <v>1.3838400000000002</v>
      </c>
      <c r="AB46" s="1">
        <v>6.49</v>
      </c>
      <c r="AC46" s="1">
        <v>21</v>
      </c>
      <c r="AD46">
        <f>AB46*100/AC46</f>
        <v>30.904761904761905</v>
      </c>
      <c r="AE46" s="1">
        <v>5</v>
      </c>
      <c r="AF46" s="1">
        <v>779</v>
      </c>
      <c r="AG46" s="1">
        <v>2</v>
      </c>
      <c r="AH46" s="1">
        <v>52.4</v>
      </c>
      <c r="AI46" s="1">
        <v>5</v>
      </c>
      <c r="AJ46" s="1">
        <v>4</v>
      </c>
      <c r="AK46" s="1">
        <v>72.2</v>
      </c>
      <c r="AL46" s="1">
        <v>43.4</v>
      </c>
      <c r="AM46" s="1">
        <v>28.8</v>
      </c>
      <c r="AN46" s="1">
        <v>917</v>
      </c>
      <c r="AO46" s="1">
        <v>551</v>
      </c>
      <c r="AP46" s="1">
        <v>366</v>
      </c>
      <c r="AQ46">
        <f>AL46/AM46</f>
        <v>1.5069444444444444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1</v>
      </c>
      <c r="BE46" s="1">
        <v>0</v>
      </c>
      <c r="BF46" s="1">
        <v>0</v>
      </c>
      <c r="BG46" s="1">
        <v>8</v>
      </c>
      <c r="BH46" s="1">
        <v>7765.56</v>
      </c>
      <c r="BI46" s="1">
        <v>0</v>
      </c>
      <c r="BJ46" s="1">
        <v>1</v>
      </c>
    </row>
    <row r="47" spans="1:62" x14ac:dyDescent="0.3">
      <c r="A47" s="1">
        <v>1</v>
      </c>
      <c r="B47" s="1">
        <v>46</v>
      </c>
      <c r="C47" s="1" t="s">
        <v>60</v>
      </c>
      <c r="D47">
        <v>0</v>
      </c>
      <c r="E47" s="6">
        <v>42219</v>
      </c>
      <c r="F47" s="1" t="s">
        <v>56</v>
      </c>
      <c r="G47" s="1">
        <v>0</v>
      </c>
      <c r="H47" s="1">
        <v>0</v>
      </c>
      <c r="I47" s="1">
        <v>2</v>
      </c>
      <c r="J47" s="1" t="s">
        <v>191</v>
      </c>
      <c r="K47" s="1">
        <v>24.02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1</v>
      </c>
      <c r="Z47" s="1">
        <v>2</v>
      </c>
      <c r="AA47">
        <v>1.0211999999999999</v>
      </c>
      <c r="AK47" s="1">
        <v>62.9</v>
      </c>
      <c r="AL47" s="1">
        <v>42.2</v>
      </c>
      <c r="AM47" s="1">
        <v>18.8</v>
      </c>
      <c r="AQ47">
        <f>AL47/AM47</f>
        <v>2.2446808510638299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 s="1">
        <v>1</v>
      </c>
      <c r="BE47" s="1">
        <v>0</v>
      </c>
      <c r="BF47" s="1">
        <v>0</v>
      </c>
      <c r="BG47" s="1">
        <v>10</v>
      </c>
      <c r="BH47" s="1">
        <v>7770.5</v>
      </c>
      <c r="BI47" s="1">
        <v>0</v>
      </c>
      <c r="BJ47" s="1">
        <v>0</v>
      </c>
    </row>
    <row r="48" spans="1:62" x14ac:dyDescent="0.3">
      <c r="A48">
        <v>1</v>
      </c>
      <c r="B48">
        <v>47</v>
      </c>
      <c r="C48" t="s">
        <v>57</v>
      </c>
      <c r="D48">
        <v>0</v>
      </c>
      <c r="E48" s="2">
        <v>43496</v>
      </c>
      <c r="F48" t="s">
        <v>121</v>
      </c>
      <c r="G48" s="1">
        <v>0</v>
      </c>
      <c r="H48" s="1">
        <v>0</v>
      </c>
      <c r="I48" s="1">
        <v>2</v>
      </c>
      <c r="J48" s="1" t="s">
        <v>192</v>
      </c>
      <c r="K48" s="1">
        <v>24.86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>
        <v>1.77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1</v>
      </c>
      <c r="BE48" s="1">
        <v>0</v>
      </c>
      <c r="BF48" s="1">
        <v>0</v>
      </c>
      <c r="BG48" s="1">
        <v>8</v>
      </c>
      <c r="BH48">
        <f>2255.26+193.02+4734+522+85+750+315+375</f>
        <v>9229.2800000000007</v>
      </c>
      <c r="BI48" s="1">
        <v>0</v>
      </c>
      <c r="BJ48" s="1">
        <v>0</v>
      </c>
    </row>
    <row r="49" spans="1:62" x14ac:dyDescent="0.3">
      <c r="A49">
        <v>1</v>
      </c>
      <c r="B49" s="1">
        <v>48</v>
      </c>
      <c r="C49" t="s">
        <v>69</v>
      </c>
      <c r="D49">
        <v>0</v>
      </c>
      <c r="E49" s="2">
        <v>43495</v>
      </c>
      <c r="F49" t="s">
        <v>53</v>
      </c>
      <c r="G49" s="1">
        <v>0</v>
      </c>
      <c r="H49" s="1">
        <v>0</v>
      </c>
      <c r="I49" s="1">
        <v>2</v>
      </c>
      <c r="J49" s="1" t="s">
        <v>195</v>
      </c>
      <c r="K49" s="1">
        <v>26.12</v>
      </c>
      <c r="L49" s="1">
        <v>1</v>
      </c>
      <c r="M49" s="1">
        <v>1</v>
      </c>
      <c r="N49" s="1">
        <v>1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  <c r="W49" s="1">
        <v>1</v>
      </c>
      <c r="X49" s="1">
        <v>0</v>
      </c>
      <c r="Y49" s="1">
        <v>0</v>
      </c>
      <c r="Z49" s="1">
        <v>2</v>
      </c>
      <c r="AA49" s="1">
        <v>1.18</v>
      </c>
      <c r="AB49" s="1">
        <v>14.52</v>
      </c>
      <c r="AC49" s="1">
        <v>41</v>
      </c>
      <c r="AD49">
        <f>AB49*100/AC49</f>
        <v>35.414634146341463</v>
      </c>
      <c r="AE49" s="1">
        <v>5</v>
      </c>
      <c r="AF49" s="1">
        <v>1008</v>
      </c>
      <c r="AG49" s="1">
        <v>4.0199999999999996</v>
      </c>
      <c r="AH49" s="1">
        <v>28.9</v>
      </c>
      <c r="AI49" s="1">
        <v>8.5299999999999994</v>
      </c>
      <c r="AJ49" s="1">
        <v>8.16</v>
      </c>
      <c r="AK49">
        <v>71.099999999999994</v>
      </c>
      <c r="AL49">
        <v>49.2</v>
      </c>
      <c r="AM49">
        <v>20.100000000000001</v>
      </c>
      <c r="AQ49">
        <f>AL49/AM49</f>
        <v>2.4477611940298507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0</v>
      </c>
      <c r="BD49">
        <v>2</v>
      </c>
      <c r="BE49" s="1">
        <v>0</v>
      </c>
      <c r="BF49" s="1">
        <v>0</v>
      </c>
      <c r="BG49" s="1">
        <v>8</v>
      </c>
      <c r="BH49">
        <f>2428.96+2483+1711+126+170+384+274+200+63.53</f>
        <v>7840.49</v>
      </c>
      <c r="BI49" s="1">
        <v>0</v>
      </c>
      <c r="BJ49" s="1">
        <v>1</v>
      </c>
    </row>
    <row r="50" spans="1:62" x14ac:dyDescent="0.3">
      <c r="A50">
        <v>1</v>
      </c>
      <c r="B50" s="1">
        <v>49</v>
      </c>
      <c r="C50" s="1" t="s">
        <v>60</v>
      </c>
      <c r="D50">
        <v>0</v>
      </c>
      <c r="E50" s="2">
        <v>43488</v>
      </c>
      <c r="F50" t="s">
        <v>130</v>
      </c>
      <c r="G50" s="1">
        <v>0</v>
      </c>
      <c r="H50" s="1">
        <v>0</v>
      </c>
      <c r="I50" s="1">
        <v>2</v>
      </c>
      <c r="J50" s="1" t="s">
        <v>191</v>
      </c>
      <c r="K50" s="1">
        <v>18.37</v>
      </c>
      <c r="L50" s="1">
        <v>0</v>
      </c>
      <c r="M50" s="1">
        <v>1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</v>
      </c>
      <c r="AA50" s="1">
        <v>1.3</v>
      </c>
      <c r="AB50" s="1"/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</v>
      </c>
      <c r="BE50" s="1">
        <v>0</v>
      </c>
      <c r="BF50" s="1">
        <v>0</v>
      </c>
      <c r="BG50" s="1">
        <v>7</v>
      </c>
      <c r="BH50">
        <f>1994.75+266.92+2541+1624+162+406+364+350+157.5</f>
        <v>7866.17</v>
      </c>
      <c r="BI50" s="1">
        <v>1</v>
      </c>
      <c r="BJ50" s="1">
        <v>0</v>
      </c>
    </row>
    <row r="51" spans="1:62" x14ac:dyDescent="0.3">
      <c r="A51" s="1">
        <v>1</v>
      </c>
      <c r="B51">
        <v>50</v>
      </c>
      <c r="C51" s="1" t="s">
        <v>60</v>
      </c>
      <c r="D51">
        <v>0</v>
      </c>
      <c r="E51" s="6">
        <v>42365</v>
      </c>
      <c r="F51" s="1" t="s">
        <v>64</v>
      </c>
      <c r="G51" s="1">
        <v>0</v>
      </c>
      <c r="H51" s="1">
        <v>0</v>
      </c>
      <c r="I51" s="1">
        <v>3</v>
      </c>
      <c r="J51" s="1" t="s">
        <v>187</v>
      </c>
      <c r="K51" s="1">
        <v>26.3</v>
      </c>
      <c r="L51" s="1">
        <v>1</v>
      </c>
      <c r="M51" s="1">
        <v>1</v>
      </c>
      <c r="N51" s="1">
        <v>1</v>
      </c>
      <c r="O51" s="1">
        <v>0</v>
      </c>
      <c r="P51" s="1">
        <v>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2</v>
      </c>
      <c r="AA51">
        <v>1.19764</v>
      </c>
      <c r="AB51" s="1">
        <v>12.54</v>
      </c>
      <c r="AC51" s="1">
        <v>21</v>
      </c>
      <c r="AD51">
        <f>AB51*100/AC51</f>
        <v>59.714285714285715</v>
      </c>
      <c r="AK51" s="1">
        <v>64.400000000000006</v>
      </c>
      <c r="AL51" s="1">
        <v>26.4</v>
      </c>
      <c r="AM51" s="1">
        <v>32</v>
      </c>
      <c r="AQ51">
        <f>AL51/AM51</f>
        <v>0.82499999999999996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 s="1">
        <v>0</v>
      </c>
      <c r="BE51" s="1">
        <v>0</v>
      </c>
      <c r="BF51" s="1">
        <v>0</v>
      </c>
      <c r="BG51" s="1">
        <v>7</v>
      </c>
      <c r="BH51" s="1">
        <v>7872.59</v>
      </c>
      <c r="BI51" s="1">
        <v>0</v>
      </c>
      <c r="BJ51" s="1">
        <v>0</v>
      </c>
    </row>
    <row r="52" spans="1:62" x14ac:dyDescent="0.3">
      <c r="A52" s="1">
        <v>1</v>
      </c>
      <c r="B52" s="1">
        <v>51</v>
      </c>
      <c r="C52" s="1" t="s">
        <v>51</v>
      </c>
      <c r="D52">
        <v>0</v>
      </c>
      <c r="E52" s="6">
        <v>42549</v>
      </c>
      <c r="F52" s="1" t="s">
        <v>70</v>
      </c>
      <c r="G52" s="1">
        <v>0</v>
      </c>
      <c r="H52" s="1">
        <v>1</v>
      </c>
      <c r="I52" s="1">
        <v>2</v>
      </c>
      <c r="J52" s="1" t="s">
        <v>191</v>
      </c>
      <c r="K52" s="1">
        <v>28.52</v>
      </c>
      <c r="L52" s="1">
        <v>0</v>
      </c>
      <c r="M52" s="1">
        <v>1</v>
      </c>
      <c r="N52" s="1">
        <v>0</v>
      </c>
      <c r="O52" s="1">
        <v>1</v>
      </c>
      <c r="P52" s="1">
        <v>0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2</v>
      </c>
      <c r="AA52">
        <v>0.48092999999999997</v>
      </c>
      <c r="AB52" s="1">
        <v>8.19</v>
      </c>
      <c r="AC52" s="1">
        <v>100</v>
      </c>
      <c r="AD52">
        <f>AB52*100/AC52</f>
        <v>8.19</v>
      </c>
      <c r="AE52" s="1">
        <v>5</v>
      </c>
      <c r="AF52" s="1">
        <v>414</v>
      </c>
      <c r="AG52" s="1">
        <v>2</v>
      </c>
      <c r="AH52" s="1">
        <v>21.6</v>
      </c>
      <c r="AI52" s="1">
        <v>5</v>
      </c>
      <c r="AJ52">
        <v>6.48</v>
      </c>
      <c r="AK52" s="1">
        <v>65.5</v>
      </c>
      <c r="AL52" s="1">
        <v>52</v>
      </c>
      <c r="AM52" s="1">
        <v>8.6</v>
      </c>
      <c r="AQ52">
        <f>AL52/AM52</f>
        <v>6.0465116279069768</v>
      </c>
      <c r="AR52" s="1">
        <v>1</v>
      </c>
      <c r="AS52" s="1">
        <v>0</v>
      </c>
      <c r="AT52" s="1">
        <v>1</v>
      </c>
      <c r="AU52" s="1">
        <v>0</v>
      </c>
      <c r="AV52" s="1">
        <v>0</v>
      </c>
      <c r="AW52" s="1">
        <v>1</v>
      </c>
      <c r="AX52" s="1">
        <v>0</v>
      </c>
      <c r="AY52" s="1">
        <v>0</v>
      </c>
      <c r="AZ52" s="1">
        <v>0</v>
      </c>
      <c r="BA52" s="1">
        <v>0</v>
      </c>
      <c r="BB52" s="1">
        <v>1</v>
      </c>
      <c r="BC52" s="1">
        <v>0</v>
      </c>
      <c r="BD52" s="1">
        <v>1</v>
      </c>
      <c r="BE52" s="1">
        <v>3</v>
      </c>
      <c r="BF52" s="1">
        <v>1</v>
      </c>
      <c r="BG52" s="1">
        <v>46</v>
      </c>
      <c r="BH52" s="1">
        <v>115425.79</v>
      </c>
      <c r="BI52" s="1">
        <v>1</v>
      </c>
      <c r="BJ52" s="1">
        <v>1</v>
      </c>
    </row>
    <row r="53" spans="1:62" x14ac:dyDescent="0.3">
      <c r="A53">
        <v>1</v>
      </c>
      <c r="B53">
        <v>52</v>
      </c>
      <c r="C53" s="1" t="s">
        <v>60</v>
      </c>
      <c r="D53">
        <v>0</v>
      </c>
      <c r="E53" s="2">
        <v>43495</v>
      </c>
      <c r="F53" t="s">
        <v>99</v>
      </c>
      <c r="G53" s="1">
        <v>0</v>
      </c>
      <c r="H53" s="1">
        <v>0</v>
      </c>
      <c r="I53" s="1">
        <v>2</v>
      </c>
      <c r="J53" s="1" t="s">
        <v>193</v>
      </c>
      <c r="K53" s="1">
        <v>22.81</v>
      </c>
      <c r="L53" s="1">
        <v>2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>
        <v>2</v>
      </c>
      <c r="AA53" s="1">
        <v>0.98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2</v>
      </c>
      <c r="BE53" s="1">
        <v>0</v>
      </c>
      <c r="BF53" s="1">
        <v>0</v>
      </c>
      <c r="BG53" s="1">
        <v>16</v>
      </c>
      <c r="BH53">
        <f>1395.33+356.4+157.29+3478+1215+5+850+154+85+212</f>
        <v>7908.02</v>
      </c>
      <c r="BI53" s="1">
        <v>1</v>
      </c>
      <c r="BJ53" s="1">
        <v>0</v>
      </c>
    </row>
    <row r="54" spans="1:62" x14ac:dyDescent="0.3">
      <c r="A54">
        <v>1</v>
      </c>
      <c r="B54" s="1">
        <v>53</v>
      </c>
      <c r="C54" s="1" t="s">
        <v>60</v>
      </c>
      <c r="D54">
        <v>0</v>
      </c>
      <c r="E54" s="2">
        <v>43507</v>
      </c>
      <c r="F54" t="s">
        <v>53</v>
      </c>
      <c r="G54" s="1">
        <v>0</v>
      </c>
      <c r="H54" s="1">
        <v>0</v>
      </c>
      <c r="I54" s="1">
        <v>2</v>
      </c>
      <c r="J54" s="1" t="s">
        <v>190</v>
      </c>
      <c r="K54" s="1">
        <v>25.53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1</v>
      </c>
      <c r="X54" s="1">
        <v>0</v>
      </c>
      <c r="Y54" s="1">
        <v>1</v>
      </c>
      <c r="Z54" s="1">
        <v>2</v>
      </c>
      <c r="AA54" s="1">
        <v>0.45</v>
      </c>
      <c r="AK54">
        <v>48.1</v>
      </c>
      <c r="AL54">
        <v>22.6</v>
      </c>
      <c r="AM54">
        <v>23.8</v>
      </c>
      <c r="AQ54">
        <f>AL54/AM54</f>
        <v>0.94957983193277318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 s="1">
        <v>0</v>
      </c>
      <c r="BF54" s="1">
        <v>0</v>
      </c>
      <c r="BG54" s="1">
        <v>7</v>
      </c>
      <c r="BH54">
        <f>2014.29+158.75+4276+30+70+256+406+364+350+2.94</f>
        <v>7927.98</v>
      </c>
      <c r="BI54" s="1">
        <v>1</v>
      </c>
      <c r="BJ54" s="1">
        <v>0</v>
      </c>
    </row>
    <row r="55" spans="1:62" x14ac:dyDescent="0.3">
      <c r="A55" s="1">
        <v>1</v>
      </c>
      <c r="B55" s="1">
        <v>54</v>
      </c>
      <c r="C55" s="1" t="s">
        <v>51</v>
      </c>
      <c r="D55">
        <v>0</v>
      </c>
      <c r="E55" s="6">
        <v>43247</v>
      </c>
      <c r="F55" s="1" t="s">
        <v>53</v>
      </c>
      <c r="G55" s="1">
        <v>0</v>
      </c>
      <c r="H55" s="1">
        <v>1</v>
      </c>
      <c r="I55" s="1">
        <v>2</v>
      </c>
      <c r="J55" s="1" t="s">
        <v>194</v>
      </c>
      <c r="K55" s="1">
        <v>24.49</v>
      </c>
      <c r="L55" s="1">
        <v>2</v>
      </c>
      <c r="M55" s="1">
        <v>1</v>
      </c>
      <c r="N55" s="1">
        <v>1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  <c r="T55" s="1">
        <v>1</v>
      </c>
      <c r="U55" s="1">
        <v>1</v>
      </c>
      <c r="V55" s="1">
        <v>0</v>
      </c>
      <c r="W55" s="1">
        <v>1</v>
      </c>
      <c r="X55" s="1">
        <v>0</v>
      </c>
      <c r="Y55" s="1">
        <v>0</v>
      </c>
      <c r="Z55" s="1">
        <v>2</v>
      </c>
      <c r="AA55">
        <v>1.7605500000000001</v>
      </c>
      <c r="AB55" s="1">
        <v>12.02</v>
      </c>
      <c r="AC55" s="1">
        <v>21</v>
      </c>
      <c r="AD55">
        <f>AB55*100/AC55</f>
        <v>57.238095238095241</v>
      </c>
      <c r="AE55" s="1">
        <v>5</v>
      </c>
      <c r="AF55" s="1">
        <v>578</v>
      </c>
      <c r="AG55" s="1">
        <v>24.6</v>
      </c>
      <c r="AH55" s="1">
        <v>98.8</v>
      </c>
      <c r="AI55" s="1">
        <v>5</v>
      </c>
      <c r="AJ55" s="1">
        <v>5.78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2</v>
      </c>
      <c r="BE55" s="1">
        <v>1</v>
      </c>
      <c r="BF55" s="1">
        <v>0</v>
      </c>
      <c r="BG55" s="1">
        <v>12</v>
      </c>
      <c r="BH55" s="1">
        <v>12043.58</v>
      </c>
      <c r="BI55" s="1">
        <v>0</v>
      </c>
      <c r="BJ55" s="1">
        <v>0</v>
      </c>
    </row>
    <row r="56" spans="1:62" x14ac:dyDescent="0.3">
      <c r="A56" s="1">
        <v>1</v>
      </c>
      <c r="B56">
        <v>55</v>
      </c>
      <c r="C56" s="1" t="s">
        <v>54</v>
      </c>
      <c r="D56">
        <v>0</v>
      </c>
      <c r="E56" s="6">
        <v>42660</v>
      </c>
      <c r="F56" s="1" t="s">
        <v>64</v>
      </c>
      <c r="G56" s="1">
        <v>0</v>
      </c>
      <c r="H56" s="1">
        <v>0</v>
      </c>
      <c r="I56" s="1">
        <v>3</v>
      </c>
      <c r="J56" s="1" t="s">
        <v>182</v>
      </c>
      <c r="K56" s="1">
        <v>22.66</v>
      </c>
      <c r="L56" s="1">
        <v>0</v>
      </c>
      <c r="M56" s="1">
        <v>1</v>
      </c>
      <c r="N56" s="1">
        <v>1</v>
      </c>
      <c r="O56" s="1">
        <v>0</v>
      </c>
      <c r="P56" s="1">
        <v>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</v>
      </c>
      <c r="AA56">
        <v>1.0324800000000003</v>
      </c>
      <c r="AB56" s="1">
        <v>11.14</v>
      </c>
      <c r="AC56" s="1">
        <v>21</v>
      </c>
      <c r="AD56">
        <f>AB56*100/AC56</f>
        <v>53.047619047619051</v>
      </c>
      <c r="AK56" s="1">
        <v>60.7</v>
      </c>
      <c r="AL56" s="1">
        <v>31.9</v>
      </c>
      <c r="AM56" s="1">
        <v>24.9</v>
      </c>
      <c r="AQ56">
        <f>AL56/AM56</f>
        <v>1.2811244979919678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8</v>
      </c>
      <c r="BH56" s="1">
        <v>8009.51</v>
      </c>
      <c r="BI56" s="1">
        <v>0</v>
      </c>
      <c r="BJ56" s="1">
        <v>0</v>
      </c>
    </row>
    <row r="57" spans="1:62" x14ac:dyDescent="0.3">
      <c r="A57" s="1">
        <v>1</v>
      </c>
      <c r="B57" s="1">
        <v>56</v>
      </c>
      <c r="C57" s="1" t="s">
        <v>71</v>
      </c>
      <c r="D57">
        <v>0</v>
      </c>
      <c r="E57" s="6">
        <v>43113</v>
      </c>
      <c r="F57" s="1" t="s">
        <v>64</v>
      </c>
      <c r="G57" s="1">
        <v>0</v>
      </c>
      <c r="H57" s="1">
        <v>0</v>
      </c>
      <c r="I57" s="1">
        <v>3</v>
      </c>
      <c r="J57" s="1" t="s">
        <v>187</v>
      </c>
      <c r="K57" s="1">
        <v>21.22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0</v>
      </c>
      <c r="R57" s="1">
        <v>0</v>
      </c>
      <c r="S57" s="1">
        <v>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1</v>
      </c>
      <c r="AA57">
        <v>0.75151999999999997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10</v>
      </c>
      <c r="BH57" s="1">
        <v>8036.65</v>
      </c>
      <c r="BI57" s="1">
        <v>0</v>
      </c>
      <c r="BJ57" s="1">
        <v>1</v>
      </c>
    </row>
    <row r="58" spans="1:62" x14ac:dyDescent="0.3">
      <c r="A58" s="1">
        <v>1</v>
      </c>
      <c r="B58">
        <v>57</v>
      </c>
      <c r="C58" s="1" t="s">
        <v>51</v>
      </c>
      <c r="D58">
        <v>0</v>
      </c>
      <c r="E58" s="6">
        <v>42972</v>
      </c>
      <c r="F58" s="1" t="s">
        <v>85</v>
      </c>
      <c r="G58" s="1">
        <v>0</v>
      </c>
      <c r="H58" s="1">
        <v>0</v>
      </c>
      <c r="I58" s="1">
        <v>2</v>
      </c>
      <c r="J58" s="1" t="s">
        <v>192</v>
      </c>
      <c r="K58" s="1">
        <v>21.56</v>
      </c>
      <c r="L58" s="1">
        <v>1</v>
      </c>
      <c r="M58" s="1">
        <v>0</v>
      </c>
      <c r="N58" s="1">
        <v>1</v>
      </c>
      <c r="O58" s="1">
        <v>0</v>
      </c>
      <c r="P58" s="1">
        <v>0</v>
      </c>
      <c r="Q58" s="1">
        <v>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1</v>
      </c>
      <c r="X58" s="1">
        <v>1</v>
      </c>
      <c r="Y58" s="1">
        <v>0</v>
      </c>
      <c r="Z58" s="1">
        <v>1</v>
      </c>
      <c r="AA58">
        <v>1.4447999999999999</v>
      </c>
      <c r="AK58" s="1">
        <v>82.6</v>
      </c>
      <c r="AL58" s="1">
        <v>61.2</v>
      </c>
      <c r="AM58" s="1">
        <v>19.5</v>
      </c>
      <c r="AN58" s="1">
        <v>1156</v>
      </c>
      <c r="AO58" s="1">
        <v>857</v>
      </c>
      <c r="AP58" s="1">
        <v>273</v>
      </c>
      <c r="AQ58">
        <f>AL58/AM58</f>
        <v>3.1384615384615384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2</v>
      </c>
      <c r="BE58" s="1">
        <v>0</v>
      </c>
      <c r="BF58" s="1">
        <v>0</v>
      </c>
      <c r="BG58" s="1">
        <v>9</v>
      </c>
      <c r="BH58" s="1">
        <v>17153.509999999998</v>
      </c>
      <c r="BI58" s="1">
        <v>0</v>
      </c>
      <c r="BJ58" s="1">
        <v>0</v>
      </c>
    </row>
    <row r="59" spans="1:62" x14ac:dyDescent="0.3">
      <c r="A59" s="1">
        <v>1</v>
      </c>
      <c r="B59" s="1">
        <v>58</v>
      </c>
      <c r="C59" s="1" t="s">
        <v>60</v>
      </c>
      <c r="D59">
        <v>0</v>
      </c>
      <c r="E59" s="6">
        <v>43121</v>
      </c>
      <c r="F59" s="1" t="s">
        <v>121</v>
      </c>
      <c r="G59" s="1">
        <v>0</v>
      </c>
      <c r="H59" s="1">
        <v>0</v>
      </c>
      <c r="I59" s="1">
        <v>2</v>
      </c>
      <c r="J59" s="1" t="s">
        <v>197</v>
      </c>
      <c r="K59" s="1">
        <v>22.86</v>
      </c>
      <c r="L59" s="1">
        <v>0</v>
      </c>
      <c r="M59" s="1">
        <v>1</v>
      </c>
      <c r="N59" s="1">
        <v>1</v>
      </c>
      <c r="O59" s="1">
        <v>0</v>
      </c>
      <c r="P59" s="1">
        <v>0</v>
      </c>
      <c r="Q59" s="1">
        <v>1</v>
      </c>
      <c r="R59" s="1">
        <v>1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1">
        <v>0</v>
      </c>
      <c r="Z59" s="1">
        <v>1</v>
      </c>
      <c r="AA59">
        <v>0.99138000000000004</v>
      </c>
      <c r="AB59" s="1">
        <v>13.04</v>
      </c>
      <c r="AC59" s="1">
        <v>33</v>
      </c>
      <c r="AD59">
        <f>AB59*100/AC59</f>
        <v>39.515151515151516</v>
      </c>
      <c r="AR59">
        <v>1</v>
      </c>
      <c r="AS59">
        <v>0</v>
      </c>
      <c r="AT59">
        <v>1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 s="1">
        <v>2</v>
      </c>
      <c r="BE59" s="1">
        <v>0</v>
      </c>
      <c r="BF59" s="1">
        <v>0</v>
      </c>
      <c r="BG59" s="1">
        <v>20</v>
      </c>
      <c r="BH59" s="1">
        <v>7099.62</v>
      </c>
      <c r="BI59" s="1">
        <v>0</v>
      </c>
      <c r="BJ59" s="1">
        <v>0</v>
      </c>
    </row>
    <row r="60" spans="1:62" x14ac:dyDescent="0.3">
      <c r="A60">
        <v>1</v>
      </c>
      <c r="B60" s="1">
        <v>59</v>
      </c>
      <c r="C60" t="s">
        <v>49</v>
      </c>
      <c r="D60">
        <v>0</v>
      </c>
      <c r="E60" s="2">
        <v>43494</v>
      </c>
      <c r="F60" t="s">
        <v>53</v>
      </c>
      <c r="G60" s="1">
        <v>0</v>
      </c>
      <c r="H60" s="1">
        <v>1</v>
      </c>
      <c r="I60" s="1">
        <v>2</v>
      </c>
      <c r="J60" s="1" t="s">
        <v>197</v>
      </c>
      <c r="K60" s="1">
        <v>20.76</v>
      </c>
      <c r="L60" s="1">
        <v>0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0</v>
      </c>
      <c r="T60" s="1">
        <v>0</v>
      </c>
      <c r="U60" s="1">
        <v>1</v>
      </c>
      <c r="V60" s="1">
        <v>1</v>
      </c>
      <c r="W60" s="1">
        <v>0</v>
      </c>
      <c r="X60" s="1">
        <v>0</v>
      </c>
      <c r="Y60" s="1">
        <v>0</v>
      </c>
      <c r="Z60" s="1">
        <v>2</v>
      </c>
      <c r="AA60" s="1">
        <v>2.06</v>
      </c>
      <c r="AB60" s="1">
        <v>14.66</v>
      </c>
      <c r="AC60" s="1">
        <v>41</v>
      </c>
      <c r="AD60">
        <f>AB60*100/AC60</f>
        <v>35.756097560975611</v>
      </c>
      <c r="AK60">
        <v>64.5</v>
      </c>
      <c r="AL60">
        <v>29.7</v>
      </c>
      <c r="AM60">
        <v>36.799999999999997</v>
      </c>
      <c r="AQ60">
        <f>AL60/AM60</f>
        <v>0.80706521739130443</v>
      </c>
      <c r="AR60">
        <v>1</v>
      </c>
      <c r="AS60">
        <v>1</v>
      </c>
      <c r="AT60">
        <v>0</v>
      </c>
      <c r="AU60">
        <v>1</v>
      </c>
      <c r="AV60">
        <v>0</v>
      </c>
      <c r="AW60">
        <v>0</v>
      </c>
      <c r="AX60">
        <v>0</v>
      </c>
      <c r="AY60">
        <v>1</v>
      </c>
      <c r="AZ60">
        <v>0</v>
      </c>
      <c r="BA60">
        <v>0</v>
      </c>
      <c r="BB60">
        <v>0</v>
      </c>
      <c r="BC60">
        <v>0</v>
      </c>
      <c r="BD60">
        <v>2</v>
      </c>
      <c r="BE60" s="1">
        <v>0</v>
      </c>
      <c r="BF60" s="1">
        <v>0</v>
      </c>
      <c r="BG60" s="1">
        <v>17</v>
      </c>
      <c r="BH60">
        <f>16497.88+6341+2220+70+556+768+986+1596+850+272.58</f>
        <v>30157.460000000003</v>
      </c>
      <c r="BI60" s="1">
        <v>0</v>
      </c>
      <c r="BJ60" s="1">
        <v>0</v>
      </c>
    </row>
    <row r="61" spans="1:62" x14ac:dyDescent="0.3">
      <c r="A61" s="1">
        <v>1</v>
      </c>
      <c r="B61">
        <v>60</v>
      </c>
      <c r="C61" s="1" t="s">
        <v>54</v>
      </c>
      <c r="D61">
        <v>0</v>
      </c>
      <c r="E61" s="6">
        <v>42764</v>
      </c>
      <c r="F61" s="1" t="s">
        <v>53</v>
      </c>
      <c r="G61" s="1">
        <v>0</v>
      </c>
      <c r="H61" s="1">
        <v>0</v>
      </c>
      <c r="I61" s="1">
        <v>2</v>
      </c>
      <c r="J61" s="1" t="s">
        <v>191</v>
      </c>
      <c r="K61" s="1">
        <v>23.28</v>
      </c>
      <c r="L61" s="1">
        <v>0</v>
      </c>
      <c r="M61" s="1">
        <v>1</v>
      </c>
      <c r="N61" s="1">
        <v>1</v>
      </c>
      <c r="O61" s="1">
        <v>0</v>
      </c>
      <c r="P61" s="1">
        <v>1</v>
      </c>
      <c r="Q61" s="1">
        <v>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2</v>
      </c>
      <c r="AA61">
        <v>4.5346599999999997</v>
      </c>
      <c r="AB61" s="1">
        <v>10.85</v>
      </c>
      <c r="AC61" s="1">
        <v>21</v>
      </c>
      <c r="AD61">
        <f>AB61*100/AC61</f>
        <v>51.666666666666664</v>
      </c>
      <c r="AK61" s="1">
        <v>45.2</v>
      </c>
      <c r="AL61" s="1">
        <v>24.1</v>
      </c>
      <c r="AM61" s="1">
        <v>12.5</v>
      </c>
      <c r="AQ61">
        <f>AL61/AM61</f>
        <v>1.9280000000000002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16</v>
      </c>
      <c r="BH61" s="1">
        <v>12437.25</v>
      </c>
      <c r="BI61" s="1">
        <v>0</v>
      </c>
      <c r="BJ61" s="1">
        <v>1</v>
      </c>
    </row>
    <row r="62" spans="1:62" x14ac:dyDescent="0.3">
      <c r="A62">
        <v>1</v>
      </c>
      <c r="B62" s="1">
        <v>61</v>
      </c>
      <c r="C62" s="1" t="s">
        <v>60</v>
      </c>
      <c r="D62">
        <v>0</v>
      </c>
      <c r="E62" s="2">
        <v>43494</v>
      </c>
      <c r="F62" t="s">
        <v>99</v>
      </c>
      <c r="G62" s="1">
        <v>0</v>
      </c>
      <c r="H62" s="1">
        <v>0</v>
      </c>
      <c r="I62" s="1">
        <v>2</v>
      </c>
      <c r="J62" s="1" t="s">
        <v>191</v>
      </c>
      <c r="K62" s="1">
        <v>24.84</v>
      </c>
      <c r="L62" s="1">
        <v>0</v>
      </c>
      <c r="M62" s="1">
        <v>1</v>
      </c>
      <c r="N62" s="1">
        <v>1</v>
      </c>
      <c r="O62" s="1">
        <v>0</v>
      </c>
      <c r="P62" s="1">
        <v>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2</v>
      </c>
      <c r="AA62" s="1">
        <v>1.1100000000000001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 s="1">
        <v>0</v>
      </c>
      <c r="BF62" s="1">
        <v>0</v>
      </c>
      <c r="BG62" s="1">
        <v>6</v>
      </c>
      <c r="BH62">
        <f>1058.01+298.31+5497+380+600+252+300</f>
        <v>8385.32</v>
      </c>
      <c r="BI62" s="1">
        <v>1</v>
      </c>
      <c r="BJ62" s="1">
        <v>0</v>
      </c>
    </row>
    <row r="63" spans="1:62" x14ac:dyDescent="0.3">
      <c r="A63">
        <v>1</v>
      </c>
      <c r="B63">
        <v>62</v>
      </c>
      <c r="C63" t="s">
        <v>69</v>
      </c>
      <c r="D63">
        <v>0</v>
      </c>
      <c r="E63" s="2">
        <v>43472</v>
      </c>
      <c r="F63" t="s">
        <v>121</v>
      </c>
      <c r="G63" s="1">
        <v>0</v>
      </c>
      <c r="H63" s="1">
        <v>0</v>
      </c>
      <c r="I63" s="1">
        <v>2</v>
      </c>
      <c r="J63" s="1" t="s">
        <v>197</v>
      </c>
      <c r="K63" s="1">
        <v>24.84</v>
      </c>
      <c r="L63" s="1">
        <v>2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0</v>
      </c>
      <c r="S63" s="1">
        <v>0</v>
      </c>
      <c r="T63" s="1">
        <v>1</v>
      </c>
      <c r="U63" s="1">
        <v>0</v>
      </c>
      <c r="V63" s="1">
        <v>0</v>
      </c>
      <c r="W63" s="1">
        <v>0</v>
      </c>
      <c r="X63" s="1">
        <v>1</v>
      </c>
      <c r="Y63" s="1">
        <v>0</v>
      </c>
      <c r="Z63" s="1">
        <v>2</v>
      </c>
      <c r="AA63" s="1">
        <v>0.92</v>
      </c>
      <c r="AK63">
        <v>71.5</v>
      </c>
      <c r="AL63">
        <v>38.6</v>
      </c>
      <c r="AM63">
        <v>24.2</v>
      </c>
      <c r="AQ63">
        <f>AL63/AM63</f>
        <v>1.5950413223140496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2</v>
      </c>
      <c r="BE63" s="1">
        <v>0</v>
      </c>
      <c r="BF63" s="1">
        <v>0</v>
      </c>
      <c r="BG63" s="1">
        <v>26</v>
      </c>
      <c r="BH63">
        <f>10526.5+1701.81+10713+575+2071+253+2600+1092+1300+160.65</f>
        <v>30992.959999999999</v>
      </c>
      <c r="BI63" s="1">
        <v>0</v>
      </c>
      <c r="BJ63" s="1">
        <v>0</v>
      </c>
    </row>
    <row r="64" spans="1:62" x14ac:dyDescent="0.3">
      <c r="A64" s="1">
        <v>1</v>
      </c>
      <c r="B64" s="1">
        <v>63</v>
      </c>
      <c r="C64" s="1" t="s">
        <v>57</v>
      </c>
      <c r="D64">
        <v>0</v>
      </c>
      <c r="E64" s="6">
        <v>43153</v>
      </c>
      <c r="F64" s="1" t="s">
        <v>59</v>
      </c>
      <c r="G64" s="1">
        <v>0</v>
      </c>
      <c r="H64" s="1">
        <v>0</v>
      </c>
      <c r="I64" s="1">
        <v>2</v>
      </c>
      <c r="J64" s="1" t="s">
        <v>197</v>
      </c>
      <c r="K64" s="1">
        <v>22.46</v>
      </c>
      <c r="L64" s="1">
        <v>0</v>
      </c>
      <c r="M64" s="1">
        <v>0</v>
      </c>
      <c r="N64" s="1">
        <v>0</v>
      </c>
      <c r="O64" s="1">
        <v>0</v>
      </c>
      <c r="P64" s="1">
        <v>1</v>
      </c>
      <c r="Q64" s="1">
        <v>1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>
        <v>2</v>
      </c>
      <c r="AA64">
        <v>0.95625000000000004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2</v>
      </c>
      <c r="BE64" s="1">
        <v>0</v>
      </c>
      <c r="BF64" s="1">
        <v>0</v>
      </c>
      <c r="BG64" s="1">
        <v>34</v>
      </c>
      <c r="BH64" s="1">
        <v>41641.35</v>
      </c>
      <c r="BI64" s="1">
        <v>0</v>
      </c>
      <c r="BJ64" s="1">
        <v>0</v>
      </c>
    </row>
    <row r="65" spans="1:62" x14ac:dyDescent="0.3">
      <c r="A65" s="1">
        <v>1</v>
      </c>
      <c r="B65" s="1">
        <v>64</v>
      </c>
      <c r="C65" s="1" t="s">
        <v>87</v>
      </c>
      <c r="D65">
        <v>0</v>
      </c>
      <c r="E65" s="6">
        <v>42967</v>
      </c>
      <c r="F65" s="1" t="s">
        <v>61</v>
      </c>
      <c r="G65" s="1">
        <v>1</v>
      </c>
      <c r="H65" s="1">
        <v>1</v>
      </c>
      <c r="I65" s="1">
        <v>2</v>
      </c>
      <c r="J65" s="1" t="s">
        <v>193</v>
      </c>
      <c r="K65" s="1">
        <v>24.22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2</v>
      </c>
      <c r="AA65">
        <v>0.26224000000000003</v>
      </c>
      <c r="AB65" s="1">
        <v>13.46</v>
      </c>
      <c r="AC65" s="1">
        <v>61</v>
      </c>
      <c r="AD65">
        <f>AB65*100/AC65</f>
        <v>22.065573770491802</v>
      </c>
      <c r="AK65" s="1">
        <v>35.200000000000003</v>
      </c>
      <c r="AL65" s="1">
        <v>18.899999999999999</v>
      </c>
      <c r="AM65" s="1">
        <v>15.3</v>
      </c>
      <c r="AN65" s="1">
        <v>70</v>
      </c>
      <c r="AO65" s="1">
        <v>38</v>
      </c>
      <c r="AP65" s="1">
        <v>31</v>
      </c>
      <c r="AQ65">
        <f>AL65/AM65</f>
        <v>1.2352941176470587</v>
      </c>
      <c r="AR65" s="1">
        <v>1</v>
      </c>
      <c r="AS65" s="1">
        <v>1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2</v>
      </c>
      <c r="BF65" s="1">
        <v>1</v>
      </c>
      <c r="BG65" s="1">
        <v>11</v>
      </c>
      <c r="BH65" s="1">
        <v>83801.100000000006</v>
      </c>
      <c r="BI65" s="1">
        <v>1</v>
      </c>
      <c r="BJ65" s="1">
        <v>1</v>
      </c>
    </row>
    <row r="66" spans="1:62" x14ac:dyDescent="0.3">
      <c r="A66" s="1">
        <v>1</v>
      </c>
      <c r="B66">
        <v>65</v>
      </c>
      <c r="C66" s="1" t="s">
        <v>115</v>
      </c>
      <c r="D66">
        <v>0</v>
      </c>
      <c r="E66" s="6">
        <v>43274</v>
      </c>
      <c r="F66" s="1" t="s">
        <v>85</v>
      </c>
      <c r="G66" s="1">
        <v>0</v>
      </c>
      <c r="H66" s="1">
        <v>0</v>
      </c>
      <c r="I66" s="1">
        <v>3</v>
      </c>
      <c r="J66" s="1" t="s">
        <v>182</v>
      </c>
      <c r="K66" s="1">
        <v>27.17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</v>
      </c>
      <c r="AA66">
        <v>1.1385000000000001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6</v>
      </c>
      <c r="BH66" s="1">
        <v>8657.33</v>
      </c>
      <c r="BI66" s="1">
        <v>0</v>
      </c>
      <c r="BJ66" s="1">
        <v>0</v>
      </c>
    </row>
    <row r="67" spans="1:62" x14ac:dyDescent="0.3">
      <c r="A67" s="1">
        <v>1</v>
      </c>
      <c r="B67" s="1">
        <v>66</v>
      </c>
      <c r="C67" s="1" t="s">
        <v>77</v>
      </c>
      <c r="D67">
        <v>0</v>
      </c>
      <c r="E67" s="6">
        <v>43194</v>
      </c>
      <c r="F67" s="1" t="s">
        <v>85</v>
      </c>
      <c r="G67" s="1">
        <v>0</v>
      </c>
      <c r="H67" s="1">
        <v>0</v>
      </c>
      <c r="I67" s="1">
        <v>2</v>
      </c>
      <c r="J67" s="1" t="s">
        <v>190</v>
      </c>
      <c r="K67" s="1">
        <v>24.03</v>
      </c>
      <c r="L67" s="1">
        <v>2</v>
      </c>
      <c r="M67" s="1">
        <v>0</v>
      </c>
      <c r="N67" s="1">
        <v>1</v>
      </c>
      <c r="O67" s="1">
        <v>0</v>
      </c>
      <c r="P67" s="1">
        <v>0</v>
      </c>
      <c r="Q67" s="1">
        <v>1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</v>
      </c>
      <c r="AA67">
        <v>1.4358299999999997</v>
      </c>
      <c r="AG67" s="1">
        <v>4.1399999999999997</v>
      </c>
      <c r="AH67" s="1">
        <v>221</v>
      </c>
      <c r="AI67" s="1">
        <v>5</v>
      </c>
      <c r="AK67" s="1">
        <v>82.9</v>
      </c>
      <c r="AL67" s="1">
        <v>19.100000000000001</v>
      </c>
      <c r="AM67" s="1">
        <v>10.199999999999999</v>
      </c>
      <c r="AN67" s="1">
        <v>1451</v>
      </c>
      <c r="AO67" s="1">
        <v>110.1</v>
      </c>
      <c r="AP67" s="1">
        <v>334</v>
      </c>
      <c r="AQ67">
        <f>AL67/AM67</f>
        <v>1.8725490196078434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12</v>
      </c>
      <c r="BH67" s="1">
        <v>17597.57</v>
      </c>
      <c r="BI67" s="1">
        <v>0</v>
      </c>
      <c r="BJ67" s="1">
        <v>0</v>
      </c>
    </row>
    <row r="68" spans="1:62" x14ac:dyDescent="0.3">
      <c r="A68" s="1">
        <v>1</v>
      </c>
      <c r="B68">
        <v>67</v>
      </c>
      <c r="C68" s="1" t="s">
        <v>71</v>
      </c>
      <c r="D68">
        <v>0</v>
      </c>
      <c r="E68" s="6">
        <v>43126</v>
      </c>
      <c r="F68" s="1" t="s">
        <v>82</v>
      </c>
      <c r="G68" s="1">
        <v>0</v>
      </c>
      <c r="H68" s="1">
        <v>0</v>
      </c>
      <c r="I68" s="1">
        <v>2</v>
      </c>
      <c r="J68" s="1" t="s">
        <v>196</v>
      </c>
      <c r="K68" s="1">
        <v>26.67</v>
      </c>
      <c r="L68" s="1">
        <v>0</v>
      </c>
      <c r="M68" s="1">
        <v>1</v>
      </c>
      <c r="N68" s="1">
        <v>1</v>
      </c>
      <c r="O68" s="1">
        <v>0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2</v>
      </c>
      <c r="AA68">
        <v>1.3062200000000002</v>
      </c>
      <c r="AB68" s="1">
        <v>10.6</v>
      </c>
      <c r="AC68" s="1">
        <v>21</v>
      </c>
      <c r="AD68">
        <f>AB68*100/AC68</f>
        <v>50.476190476190474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2</v>
      </c>
      <c r="BE68" s="1">
        <v>0</v>
      </c>
      <c r="BF68" s="1">
        <v>0</v>
      </c>
      <c r="BG68" s="1">
        <v>7</v>
      </c>
      <c r="BH68" s="1">
        <v>8668.23</v>
      </c>
      <c r="BI68" s="1">
        <v>0</v>
      </c>
      <c r="BJ68" s="1">
        <v>0</v>
      </c>
    </row>
    <row r="69" spans="1:62" x14ac:dyDescent="0.3">
      <c r="A69" s="1">
        <v>1</v>
      </c>
      <c r="B69" s="1">
        <v>68</v>
      </c>
      <c r="C69" s="1" t="s">
        <v>54</v>
      </c>
      <c r="D69">
        <v>0</v>
      </c>
      <c r="E69" s="6">
        <v>42932</v>
      </c>
      <c r="F69" s="1" t="s">
        <v>56</v>
      </c>
      <c r="G69" s="1">
        <v>0</v>
      </c>
      <c r="H69" s="1">
        <v>0</v>
      </c>
      <c r="I69" s="1">
        <v>2</v>
      </c>
      <c r="J69" s="1" t="s">
        <v>190</v>
      </c>
      <c r="K69" s="1">
        <v>17.309999999999999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</v>
      </c>
      <c r="AA69">
        <v>1.5854999999999999</v>
      </c>
      <c r="AB69" s="1">
        <v>19.22</v>
      </c>
      <c r="AC69" s="1">
        <v>33</v>
      </c>
      <c r="AD69">
        <f>AB69*100/AC69</f>
        <v>58.242424242424242</v>
      </c>
      <c r="AK69" s="1">
        <v>73.3</v>
      </c>
      <c r="AL69" s="1">
        <v>39.5</v>
      </c>
      <c r="AM69" s="1">
        <v>22.8</v>
      </c>
      <c r="AN69" s="1">
        <v>1158</v>
      </c>
      <c r="AO69" s="1">
        <v>624</v>
      </c>
      <c r="AP69" s="1">
        <v>360</v>
      </c>
      <c r="AQ69">
        <f>AL69/AM69</f>
        <v>1.7324561403508771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4</v>
      </c>
      <c r="BH69" s="1">
        <v>8753.25</v>
      </c>
      <c r="BI69" s="1">
        <v>0</v>
      </c>
      <c r="BJ69" s="1">
        <v>1</v>
      </c>
    </row>
    <row r="70" spans="1:62" x14ac:dyDescent="0.3">
      <c r="A70" s="1">
        <v>1</v>
      </c>
      <c r="B70" s="1">
        <v>69</v>
      </c>
      <c r="C70" s="1" t="s">
        <v>54</v>
      </c>
      <c r="D70">
        <v>0</v>
      </c>
      <c r="E70" s="6">
        <v>42994</v>
      </c>
      <c r="F70" s="1" t="s">
        <v>53</v>
      </c>
      <c r="G70" s="1">
        <v>0</v>
      </c>
      <c r="H70" s="1">
        <v>0</v>
      </c>
      <c r="I70" s="1">
        <v>2</v>
      </c>
      <c r="J70" s="1" t="s">
        <v>194</v>
      </c>
      <c r="K70" s="1">
        <v>13.96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0</v>
      </c>
      <c r="R70" s="1">
        <v>0</v>
      </c>
      <c r="S70" s="1">
        <v>0</v>
      </c>
      <c r="T70" s="1">
        <v>1</v>
      </c>
      <c r="U70" s="1">
        <v>1</v>
      </c>
      <c r="V70" s="1">
        <v>0</v>
      </c>
      <c r="W70" s="1">
        <v>0</v>
      </c>
      <c r="X70" s="1">
        <v>0</v>
      </c>
      <c r="Y70" s="1">
        <v>0</v>
      </c>
      <c r="Z70" s="1">
        <v>1</v>
      </c>
      <c r="AA70">
        <v>0.57996000000000003</v>
      </c>
      <c r="AB70" s="1">
        <v>10.26</v>
      </c>
      <c r="AC70" s="1">
        <v>21</v>
      </c>
      <c r="AD70">
        <f>AB70*100/AC70</f>
        <v>48.857142857142854</v>
      </c>
      <c r="AE70" s="1">
        <v>5</v>
      </c>
      <c r="AF70" s="1">
        <v>645</v>
      </c>
      <c r="AG70" s="1">
        <v>2</v>
      </c>
      <c r="AH70" s="1">
        <v>53</v>
      </c>
      <c r="AI70" s="1">
        <v>5</v>
      </c>
      <c r="AN70" s="1">
        <v>53.8</v>
      </c>
      <c r="AO70" s="1">
        <v>33</v>
      </c>
      <c r="AP70" s="1">
        <v>16.7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2</v>
      </c>
      <c r="BE70" s="1">
        <v>0</v>
      </c>
      <c r="BF70" s="1">
        <v>0</v>
      </c>
      <c r="BG70" s="1">
        <v>9</v>
      </c>
      <c r="BH70" s="1">
        <v>8817.91</v>
      </c>
      <c r="BI70" s="1">
        <v>0</v>
      </c>
      <c r="BJ70" s="1">
        <v>0</v>
      </c>
    </row>
    <row r="71" spans="1:62" x14ac:dyDescent="0.3">
      <c r="A71">
        <v>1</v>
      </c>
      <c r="B71">
        <v>70</v>
      </c>
      <c r="C71" s="1" t="s">
        <v>60</v>
      </c>
      <c r="D71">
        <v>0</v>
      </c>
      <c r="E71" s="2">
        <v>43511</v>
      </c>
      <c r="F71" t="s">
        <v>64</v>
      </c>
      <c r="G71" s="1">
        <v>0</v>
      </c>
      <c r="H71" s="1">
        <v>0</v>
      </c>
      <c r="I71" s="1">
        <v>2</v>
      </c>
      <c r="J71" s="1" t="s">
        <v>195</v>
      </c>
      <c r="K71" s="1">
        <v>24.46</v>
      </c>
      <c r="L71" s="1">
        <v>0</v>
      </c>
      <c r="M71" s="1">
        <v>1</v>
      </c>
      <c r="N71" s="1">
        <v>1</v>
      </c>
      <c r="O71" s="1">
        <v>1</v>
      </c>
      <c r="P71" s="1">
        <v>1</v>
      </c>
      <c r="Q71" s="1">
        <v>0</v>
      </c>
      <c r="R71" s="1">
        <v>1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2</v>
      </c>
      <c r="AA71" s="1">
        <v>1.17</v>
      </c>
      <c r="AB71" s="1">
        <v>10.65</v>
      </c>
      <c r="AC71" s="1">
        <v>33</v>
      </c>
      <c r="AD71">
        <f>AB71*100/AC71</f>
        <v>32.272727272727273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1</v>
      </c>
      <c r="BE71" s="1">
        <v>0</v>
      </c>
      <c r="BF71" s="1">
        <v>0</v>
      </c>
      <c r="BG71" s="1">
        <v>8</v>
      </c>
      <c r="BH71">
        <f>2384.22+28.95+3939+803+111+336+435+385+375+55.65</f>
        <v>8852.82</v>
      </c>
      <c r="BI71" s="1">
        <v>1</v>
      </c>
      <c r="BJ71" s="1">
        <v>0</v>
      </c>
    </row>
    <row r="72" spans="1:62" x14ac:dyDescent="0.3">
      <c r="A72" s="1">
        <v>1</v>
      </c>
      <c r="B72" s="1">
        <v>71</v>
      </c>
      <c r="C72" s="1" t="s">
        <v>60</v>
      </c>
      <c r="D72">
        <v>0</v>
      </c>
      <c r="E72" s="6">
        <v>43129</v>
      </c>
      <c r="F72" s="1" t="s">
        <v>121</v>
      </c>
      <c r="G72" s="1">
        <v>1</v>
      </c>
      <c r="H72" s="1">
        <v>1</v>
      </c>
      <c r="I72" s="1">
        <v>2</v>
      </c>
      <c r="J72" s="1" t="s">
        <v>195</v>
      </c>
      <c r="K72" s="1">
        <v>26.35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</v>
      </c>
      <c r="AA72">
        <v>1.3413400000000002</v>
      </c>
      <c r="AK72">
        <v>69.599999999999994</v>
      </c>
      <c r="AL72">
        <v>42.9</v>
      </c>
      <c r="AM72">
        <v>25.1</v>
      </c>
      <c r="AQ72">
        <f>AL72/AM72</f>
        <v>1.7091633466135456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 s="1">
        <v>3</v>
      </c>
      <c r="BE72" s="1">
        <v>0</v>
      </c>
      <c r="BF72" s="1">
        <v>0</v>
      </c>
      <c r="BG72" s="1">
        <v>16</v>
      </c>
      <c r="BH72" s="1">
        <v>9093.6</v>
      </c>
      <c r="BI72" s="1">
        <v>0</v>
      </c>
      <c r="BJ72" s="1">
        <v>0</v>
      </c>
    </row>
    <row r="73" spans="1:62" x14ac:dyDescent="0.3">
      <c r="A73" s="1">
        <v>1</v>
      </c>
      <c r="B73">
        <v>72</v>
      </c>
      <c r="C73" s="1" t="s">
        <v>69</v>
      </c>
      <c r="D73">
        <v>0</v>
      </c>
      <c r="E73" s="6">
        <v>43074</v>
      </c>
      <c r="F73" s="1" t="s">
        <v>53</v>
      </c>
      <c r="G73" s="1">
        <v>0</v>
      </c>
      <c r="H73" s="1">
        <v>0</v>
      </c>
      <c r="I73" s="1">
        <v>3</v>
      </c>
      <c r="J73" s="1" t="s">
        <v>184</v>
      </c>
      <c r="K73" s="1">
        <v>28.29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</v>
      </c>
      <c r="AA73">
        <v>2.1121599999999998</v>
      </c>
      <c r="AK73" s="1">
        <v>83.6</v>
      </c>
      <c r="AL73" s="1">
        <v>36.299999999999997</v>
      </c>
      <c r="AM73" s="1">
        <v>44</v>
      </c>
      <c r="AQ73">
        <f>AL73/AM73</f>
        <v>0.82499999999999996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1</v>
      </c>
      <c r="BD73" s="1">
        <v>0</v>
      </c>
      <c r="BE73" s="1">
        <v>0</v>
      </c>
      <c r="BF73" s="1">
        <v>0</v>
      </c>
      <c r="BG73" s="1">
        <v>14</v>
      </c>
      <c r="BH73" s="1">
        <v>8961.42</v>
      </c>
      <c r="BI73" s="1">
        <v>0</v>
      </c>
      <c r="BJ73" s="1">
        <v>0</v>
      </c>
    </row>
    <row r="74" spans="1:62" x14ac:dyDescent="0.3">
      <c r="A74" s="1">
        <v>1</v>
      </c>
      <c r="B74" s="1">
        <v>73</v>
      </c>
      <c r="C74" s="1" t="s">
        <v>60</v>
      </c>
      <c r="D74">
        <v>0</v>
      </c>
      <c r="E74" s="6">
        <v>42395</v>
      </c>
      <c r="F74" s="1" t="s">
        <v>53</v>
      </c>
      <c r="G74" s="1">
        <v>0</v>
      </c>
      <c r="H74" s="1">
        <v>1</v>
      </c>
      <c r="I74" s="1">
        <v>1</v>
      </c>
      <c r="J74" s="1" t="s">
        <v>184</v>
      </c>
      <c r="K74" s="1">
        <v>29.32</v>
      </c>
      <c r="L74" s="1">
        <v>1</v>
      </c>
      <c r="M74" s="1">
        <v>1</v>
      </c>
      <c r="N74" s="1">
        <v>1</v>
      </c>
      <c r="O74" s="1">
        <v>0</v>
      </c>
      <c r="P74" s="1">
        <v>1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</v>
      </c>
      <c r="X74" s="1">
        <v>0</v>
      </c>
      <c r="Y74" s="1">
        <v>0</v>
      </c>
      <c r="Z74" s="1">
        <v>2</v>
      </c>
      <c r="AA74">
        <v>0.21951000000000001</v>
      </c>
      <c r="AB74" s="1">
        <v>15.82</v>
      </c>
      <c r="AC74" s="1">
        <v>100</v>
      </c>
      <c r="AD74">
        <f t="shared" ref="AD74:AD79" si="0">AB74*100/AC74</f>
        <v>15.82</v>
      </c>
      <c r="AE74" s="1">
        <v>5</v>
      </c>
      <c r="AF74" s="1">
        <v>814</v>
      </c>
      <c r="AG74" s="1">
        <v>4.75</v>
      </c>
      <c r="AH74" s="1">
        <v>63.1</v>
      </c>
      <c r="AI74" s="1">
        <v>9.66</v>
      </c>
      <c r="AJ74" s="1">
        <v>8.15</v>
      </c>
      <c r="AK74" s="1">
        <v>52.8</v>
      </c>
      <c r="AL74" s="1">
        <v>26.2</v>
      </c>
      <c r="AM74" s="1">
        <v>24.5</v>
      </c>
      <c r="AN74" s="1">
        <v>248</v>
      </c>
      <c r="AO74" s="1">
        <v>123</v>
      </c>
      <c r="AP74" s="1">
        <v>115</v>
      </c>
      <c r="AQ74">
        <f>AL74/AM74</f>
        <v>1.0693877551020408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>
        <v>0</v>
      </c>
      <c r="BB74">
        <v>0</v>
      </c>
      <c r="BC74">
        <v>0</v>
      </c>
      <c r="BD74" s="1">
        <v>1</v>
      </c>
      <c r="BE74" s="1">
        <v>1</v>
      </c>
      <c r="BF74" s="1">
        <v>1</v>
      </c>
      <c r="BG74" s="1">
        <v>20</v>
      </c>
      <c r="BH74" s="1">
        <v>39957.49</v>
      </c>
      <c r="BI74" s="1">
        <v>1</v>
      </c>
      <c r="BJ74" s="1">
        <v>1</v>
      </c>
    </row>
    <row r="75" spans="1:62" x14ac:dyDescent="0.3">
      <c r="A75">
        <v>1</v>
      </c>
      <c r="B75" s="1">
        <v>74</v>
      </c>
      <c r="C75" s="1" t="s">
        <v>60</v>
      </c>
      <c r="D75">
        <v>0</v>
      </c>
      <c r="E75" s="2">
        <v>43497</v>
      </c>
      <c r="F75" t="s">
        <v>53</v>
      </c>
      <c r="G75" s="1">
        <v>0</v>
      </c>
      <c r="H75" s="1">
        <v>0</v>
      </c>
      <c r="I75" s="1">
        <v>2</v>
      </c>
      <c r="J75" s="1" t="s">
        <v>195</v>
      </c>
      <c r="K75" s="1">
        <v>25.39</v>
      </c>
      <c r="L75" s="1">
        <v>0</v>
      </c>
      <c r="M75" s="1">
        <v>1</v>
      </c>
      <c r="N75" s="1">
        <v>1</v>
      </c>
      <c r="O75" s="1">
        <v>0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2</v>
      </c>
      <c r="AA75" s="1">
        <v>2.1</v>
      </c>
      <c r="AB75" s="1">
        <v>10.27</v>
      </c>
      <c r="AC75" s="1">
        <v>21</v>
      </c>
      <c r="AD75">
        <f t="shared" si="0"/>
        <v>48.904761904761905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1</v>
      </c>
      <c r="BE75" s="1">
        <v>0</v>
      </c>
      <c r="BF75" s="1">
        <v>0</v>
      </c>
      <c r="BG75" s="1">
        <v>9</v>
      </c>
      <c r="BH75">
        <f>2383+26.73+4275+556+70+165+232+522+408+450+15.75</f>
        <v>9103.48</v>
      </c>
      <c r="BI75" s="1">
        <v>1</v>
      </c>
      <c r="BJ75" s="1">
        <v>0</v>
      </c>
    </row>
    <row r="76" spans="1:62" x14ac:dyDescent="0.3">
      <c r="A76">
        <v>1</v>
      </c>
      <c r="B76">
        <v>75</v>
      </c>
      <c r="C76" t="s">
        <v>54</v>
      </c>
      <c r="D76">
        <v>0</v>
      </c>
      <c r="E76" s="2">
        <v>43508</v>
      </c>
      <c r="F76" t="s">
        <v>139</v>
      </c>
      <c r="G76" s="1">
        <v>0</v>
      </c>
      <c r="H76" s="1">
        <v>0</v>
      </c>
      <c r="I76" s="1">
        <v>2</v>
      </c>
      <c r="J76" s="1" t="s">
        <v>192</v>
      </c>
      <c r="K76" s="1">
        <v>20.52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0</v>
      </c>
      <c r="R76" s="1">
        <v>0</v>
      </c>
      <c r="S76" s="1">
        <v>0</v>
      </c>
      <c r="T76" s="1">
        <v>1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2</v>
      </c>
      <c r="AA76" s="1">
        <v>1.02</v>
      </c>
      <c r="AB76" s="1">
        <v>11.08</v>
      </c>
      <c r="AC76" s="1">
        <v>37</v>
      </c>
      <c r="AD76">
        <f t="shared" si="0"/>
        <v>29.945945945945947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2</v>
      </c>
      <c r="BE76" s="1">
        <v>0</v>
      </c>
      <c r="BF76" s="1">
        <v>0</v>
      </c>
      <c r="BG76" s="1">
        <v>10</v>
      </c>
      <c r="BH76">
        <f>2428+3772.03+434+373+480+580+500+500+90.3</f>
        <v>9157.33</v>
      </c>
      <c r="BI76" s="1">
        <v>1</v>
      </c>
      <c r="BJ76" s="1">
        <v>0</v>
      </c>
    </row>
    <row r="77" spans="1:62" x14ac:dyDescent="0.3">
      <c r="A77" s="1">
        <v>1</v>
      </c>
      <c r="B77" s="1">
        <v>76</v>
      </c>
      <c r="C77" s="1" t="s">
        <v>49</v>
      </c>
      <c r="D77">
        <v>0</v>
      </c>
      <c r="E77" s="6">
        <v>42854</v>
      </c>
      <c r="F77" s="1" t="s">
        <v>53</v>
      </c>
      <c r="G77" s="1">
        <v>0</v>
      </c>
      <c r="H77" s="1">
        <v>0</v>
      </c>
      <c r="I77" s="1">
        <v>1</v>
      </c>
      <c r="J77" s="1" t="s">
        <v>185</v>
      </c>
      <c r="K77" s="1">
        <v>19.489999999999998</v>
      </c>
      <c r="L77" s="1">
        <v>0</v>
      </c>
      <c r="M77" s="1">
        <v>1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  <c r="AA77">
        <v>2.1751100000000001</v>
      </c>
      <c r="AB77" s="1">
        <v>14.79</v>
      </c>
      <c r="AC77" s="1">
        <v>21</v>
      </c>
      <c r="AD77">
        <f t="shared" si="0"/>
        <v>70.428571428571431</v>
      </c>
      <c r="AK77" s="1">
        <v>69</v>
      </c>
      <c r="AL77" s="1">
        <v>43</v>
      </c>
      <c r="AM77" s="1">
        <v>24</v>
      </c>
      <c r="AQ77">
        <f t="shared" ref="AQ77:AQ82" si="1">AL77/AM77</f>
        <v>1.7916666666666667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7</v>
      </c>
      <c r="BH77" s="1">
        <v>9221.01</v>
      </c>
      <c r="BI77" s="1">
        <v>0</v>
      </c>
      <c r="BJ77" s="1">
        <v>0</v>
      </c>
    </row>
    <row r="78" spans="1:62" x14ac:dyDescent="0.3">
      <c r="A78">
        <v>1</v>
      </c>
      <c r="B78">
        <v>77</v>
      </c>
      <c r="C78" t="s">
        <v>49</v>
      </c>
      <c r="D78">
        <v>0</v>
      </c>
      <c r="E78" s="2">
        <v>43509</v>
      </c>
      <c r="F78" t="s">
        <v>85</v>
      </c>
      <c r="G78" s="1">
        <v>0</v>
      </c>
      <c r="H78" s="1">
        <v>0</v>
      </c>
      <c r="I78" s="1">
        <v>3</v>
      </c>
      <c r="J78" s="1" t="s">
        <v>186</v>
      </c>
      <c r="K78" s="1">
        <v>32.65</v>
      </c>
      <c r="L78" s="1">
        <v>0</v>
      </c>
      <c r="M78" s="1">
        <v>1</v>
      </c>
      <c r="N78" s="1">
        <v>1</v>
      </c>
      <c r="O78" s="1">
        <v>1</v>
      </c>
      <c r="P78" s="1">
        <v>0</v>
      </c>
      <c r="Q78" s="1">
        <v>1</v>
      </c>
      <c r="R78" s="1">
        <v>0</v>
      </c>
      <c r="S78" s="1">
        <v>0</v>
      </c>
      <c r="T78" s="1">
        <v>0</v>
      </c>
      <c r="U78" s="1">
        <v>1</v>
      </c>
      <c r="V78" s="1">
        <v>0</v>
      </c>
      <c r="W78" s="1">
        <v>0</v>
      </c>
      <c r="X78" s="1">
        <v>1</v>
      </c>
      <c r="Y78" s="1">
        <v>0</v>
      </c>
      <c r="Z78" s="1">
        <v>2</v>
      </c>
      <c r="AA78" s="1">
        <v>0.5</v>
      </c>
      <c r="AB78" s="1">
        <v>15.26</v>
      </c>
      <c r="AC78" s="1">
        <v>41</v>
      </c>
      <c r="AD78">
        <f t="shared" si="0"/>
        <v>37.219512195121951</v>
      </c>
      <c r="AK78">
        <v>61.8</v>
      </c>
      <c r="AL78">
        <v>43.5</v>
      </c>
      <c r="AM78">
        <v>16.600000000000001</v>
      </c>
      <c r="AN78">
        <v>309</v>
      </c>
      <c r="AO78">
        <v>218</v>
      </c>
      <c r="AP78">
        <v>83</v>
      </c>
      <c r="AQ78">
        <f t="shared" si="1"/>
        <v>2.6204819277108431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1</v>
      </c>
      <c r="BE78" s="1">
        <v>0</v>
      </c>
      <c r="BF78" s="1">
        <v>0</v>
      </c>
      <c r="BG78" s="1">
        <v>15</v>
      </c>
      <c r="BH78">
        <f>21334.79+10534+4963+70+900+4449+526+841+934+725+15344</f>
        <v>60620.79</v>
      </c>
      <c r="BI78" s="1">
        <v>0</v>
      </c>
      <c r="BJ78" s="1">
        <v>0</v>
      </c>
    </row>
    <row r="79" spans="1:62" x14ac:dyDescent="0.3">
      <c r="A79" s="1">
        <v>1</v>
      </c>
      <c r="B79" s="1">
        <v>78</v>
      </c>
      <c r="C79" s="1" t="s">
        <v>54</v>
      </c>
      <c r="D79">
        <v>0</v>
      </c>
      <c r="E79" s="6">
        <v>42746</v>
      </c>
      <c r="F79" s="1" t="s">
        <v>53</v>
      </c>
      <c r="G79" s="1">
        <v>0</v>
      </c>
      <c r="H79" s="1">
        <v>0</v>
      </c>
      <c r="I79" s="1">
        <v>2</v>
      </c>
      <c r="J79" s="1" t="s">
        <v>191</v>
      </c>
      <c r="K79" s="1">
        <v>26.4</v>
      </c>
      <c r="L79" s="1">
        <v>0</v>
      </c>
      <c r="M79" s="1">
        <v>1</v>
      </c>
      <c r="N79" s="1">
        <v>1</v>
      </c>
      <c r="O79" s="1">
        <v>0</v>
      </c>
      <c r="P79" s="1">
        <v>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">
        <v>2</v>
      </c>
      <c r="AA79">
        <v>1.69984</v>
      </c>
      <c r="AB79" s="1">
        <v>15.61</v>
      </c>
      <c r="AC79" s="1">
        <v>21</v>
      </c>
      <c r="AD79">
        <f t="shared" si="0"/>
        <v>74.333333333333329</v>
      </c>
      <c r="AK79" s="1">
        <v>73</v>
      </c>
      <c r="AL79" s="1">
        <v>46</v>
      </c>
      <c r="AM79" s="1">
        <v>25.4</v>
      </c>
      <c r="AN79" s="1">
        <v>1241</v>
      </c>
      <c r="AO79" s="1">
        <v>782</v>
      </c>
      <c r="AP79" s="1">
        <v>432</v>
      </c>
      <c r="AQ79">
        <f t="shared" si="1"/>
        <v>1.8110236220472442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1</v>
      </c>
      <c r="BE79" s="1">
        <v>0</v>
      </c>
      <c r="BF79" s="1">
        <v>0</v>
      </c>
      <c r="BG79" s="1">
        <v>6</v>
      </c>
      <c r="BH79" s="1">
        <v>9261.76</v>
      </c>
      <c r="BI79" s="1">
        <v>0</v>
      </c>
      <c r="BJ79" s="1">
        <v>1</v>
      </c>
    </row>
    <row r="80" spans="1:62" x14ac:dyDescent="0.3">
      <c r="A80" s="1">
        <v>1</v>
      </c>
      <c r="B80" s="1">
        <v>79</v>
      </c>
      <c r="C80" s="1" t="s">
        <v>54</v>
      </c>
      <c r="D80">
        <v>0</v>
      </c>
      <c r="E80" s="6">
        <v>43154</v>
      </c>
      <c r="F80" s="1" t="s">
        <v>103</v>
      </c>
      <c r="G80" s="1">
        <v>0</v>
      </c>
      <c r="H80" s="1">
        <v>0</v>
      </c>
      <c r="I80" s="1">
        <v>2</v>
      </c>
      <c r="J80" s="1" t="s">
        <v>191</v>
      </c>
      <c r="K80" s="1">
        <v>27.68</v>
      </c>
      <c r="L80" s="1">
        <v>0</v>
      </c>
      <c r="M80" s="1">
        <v>1</v>
      </c>
      <c r="N80" s="1">
        <v>1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1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2</v>
      </c>
      <c r="AA80">
        <v>2.0608</v>
      </c>
      <c r="AK80" s="1">
        <v>75.7</v>
      </c>
      <c r="AL80" s="1">
        <v>36.299999999999997</v>
      </c>
      <c r="AM80" s="1">
        <v>35.799999999999997</v>
      </c>
      <c r="AN80" s="1">
        <v>1590</v>
      </c>
      <c r="AO80" s="1">
        <v>762</v>
      </c>
      <c r="AP80" s="1">
        <v>752</v>
      </c>
      <c r="AQ80">
        <f t="shared" si="1"/>
        <v>1.0139664804469273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2</v>
      </c>
      <c r="BE80" s="1">
        <v>0</v>
      </c>
      <c r="BF80" s="1">
        <v>0</v>
      </c>
      <c r="BG80" s="1">
        <v>4</v>
      </c>
      <c r="BH80" s="1">
        <v>9277.69</v>
      </c>
      <c r="BI80" s="1">
        <v>0</v>
      </c>
      <c r="BJ80" s="1">
        <v>0</v>
      </c>
    </row>
    <row r="81" spans="1:62" x14ac:dyDescent="0.3">
      <c r="A81" s="1">
        <v>1</v>
      </c>
      <c r="B81">
        <v>80</v>
      </c>
      <c r="C81" s="1" t="s">
        <v>77</v>
      </c>
      <c r="D81">
        <v>0</v>
      </c>
      <c r="E81" s="6">
        <v>43200</v>
      </c>
      <c r="F81" s="1" t="s">
        <v>85</v>
      </c>
      <c r="G81" s="1">
        <v>0</v>
      </c>
      <c r="H81" s="1">
        <v>0</v>
      </c>
      <c r="I81" s="1">
        <v>2</v>
      </c>
      <c r="J81" s="1" t="s">
        <v>193</v>
      </c>
      <c r="K81" s="1">
        <v>20.89</v>
      </c>
      <c r="L81" s="1">
        <v>0</v>
      </c>
      <c r="M81" s="1">
        <v>0</v>
      </c>
      <c r="N81" s="1">
        <v>1</v>
      </c>
      <c r="O81" s="1">
        <v>0</v>
      </c>
      <c r="P81" s="1">
        <v>0</v>
      </c>
      <c r="Q81" s="1">
        <v>1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</v>
      </c>
      <c r="AA81">
        <v>0.93063000000000007</v>
      </c>
      <c r="AK81" s="1">
        <v>89.4</v>
      </c>
      <c r="AL81" s="1">
        <v>39.6</v>
      </c>
      <c r="AM81" s="1">
        <v>48.1</v>
      </c>
      <c r="AN81" s="1">
        <v>715</v>
      </c>
      <c r="AO81" s="1">
        <v>317</v>
      </c>
      <c r="AP81" s="1">
        <v>385</v>
      </c>
      <c r="AQ81">
        <f t="shared" si="1"/>
        <v>0.82328482328482333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14</v>
      </c>
      <c r="BH81" s="1">
        <v>8093.23</v>
      </c>
      <c r="BI81" s="1">
        <v>0</v>
      </c>
      <c r="BJ81" s="1">
        <v>0</v>
      </c>
    </row>
    <row r="82" spans="1:62" x14ac:dyDescent="0.3">
      <c r="A82" s="1">
        <v>1</v>
      </c>
      <c r="B82" s="1">
        <v>81</v>
      </c>
      <c r="C82" s="1" t="s">
        <v>54</v>
      </c>
      <c r="D82">
        <v>0</v>
      </c>
      <c r="E82" s="6">
        <v>42570</v>
      </c>
      <c r="F82" s="1" t="s">
        <v>53</v>
      </c>
      <c r="G82" s="1">
        <v>0</v>
      </c>
      <c r="H82" s="1">
        <v>0</v>
      </c>
      <c r="I82" s="1">
        <v>2</v>
      </c>
      <c r="J82" s="1" t="s">
        <v>192</v>
      </c>
      <c r="K82" s="1">
        <v>25.43</v>
      </c>
      <c r="L82" s="1">
        <v>0</v>
      </c>
      <c r="M82" s="1">
        <v>1</v>
      </c>
      <c r="N82" s="1">
        <v>1</v>
      </c>
      <c r="O82" s="1">
        <v>0</v>
      </c>
      <c r="P82" s="1">
        <v>1</v>
      </c>
      <c r="Q82" s="1">
        <v>1</v>
      </c>
      <c r="R82" s="1">
        <v>0</v>
      </c>
      <c r="S82" s="1">
        <v>1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</v>
      </c>
      <c r="Z82" s="1">
        <v>2</v>
      </c>
      <c r="AA82">
        <v>1.3724000000000001</v>
      </c>
      <c r="AB82" s="1">
        <v>9.6999999999999993</v>
      </c>
      <c r="AC82" s="1">
        <v>21</v>
      </c>
      <c r="AD82">
        <f>AB82*100/AC82</f>
        <v>46.190476190476183</v>
      </c>
      <c r="AE82" s="1">
        <v>5</v>
      </c>
      <c r="AF82" s="1">
        <v>684</v>
      </c>
      <c r="AG82" s="1">
        <v>10</v>
      </c>
      <c r="AH82" s="1">
        <v>74.5</v>
      </c>
      <c r="AI82" s="1">
        <v>5</v>
      </c>
      <c r="AK82" s="1">
        <v>56.7</v>
      </c>
      <c r="AL82" s="1">
        <v>37.4</v>
      </c>
      <c r="AM82" s="1">
        <v>19.7</v>
      </c>
      <c r="AQ82">
        <f t="shared" si="1"/>
        <v>1.898477157360406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1</v>
      </c>
      <c r="BD82" s="1">
        <v>1</v>
      </c>
      <c r="BE82" s="1">
        <v>0</v>
      </c>
      <c r="BF82" s="1">
        <v>0</v>
      </c>
      <c r="BG82" s="1">
        <v>4</v>
      </c>
      <c r="BH82" s="1">
        <v>16253.47</v>
      </c>
      <c r="BI82" s="1">
        <v>0</v>
      </c>
      <c r="BJ82" s="1">
        <v>0</v>
      </c>
    </row>
    <row r="83" spans="1:62" x14ac:dyDescent="0.3">
      <c r="A83" s="1">
        <v>1</v>
      </c>
      <c r="B83">
        <v>82</v>
      </c>
      <c r="C83" s="1" t="s">
        <v>49</v>
      </c>
      <c r="D83">
        <v>0</v>
      </c>
      <c r="E83" s="6">
        <v>43123</v>
      </c>
      <c r="F83" s="1" t="s">
        <v>64</v>
      </c>
      <c r="G83" s="1">
        <v>0</v>
      </c>
      <c r="H83" s="1">
        <v>0</v>
      </c>
      <c r="I83" s="1">
        <v>2</v>
      </c>
      <c r="J83" s="1" t="s">
        <v>195</v>
      </c>
      <c r="K83" s="1">
        <v>22.22</v>
      </c>
      <c r="L83" s="1">
        <v>0</v>
      </c>
      <c r="M83" s="1">
        <v>1</v>
      </c>
      <c r="N83" s="1">
        <v>1</v>
      </c>
      <c r="O83" s="1">
        <v>0</v>
      </c>
      <c r="P83" s="1">
        <v>1</v>
      </c>
      <c r="Q83" s="1">
        <v>1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</v>
      </c>
      <c r="Z83" s="1">
        <v>1</v>
      </c>
      <c r="AA83">
        <v>1.3122</v>
      </c>
      <c r="AR83" s="1">
        <v>1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1</v>
      </c>
      <c r="BE83" s="1">
        <v>0</v>
      </c>
      <c r="BF83" s="1">
        <v>0</v>
      </c>
      <c r="BG83" s="1">
        <v>6</v>
      </c>
      <c r="BH83" s="1">
        <v>7751.54</v>
      </c>
      <c r="BI83" s="1">
        <v>0</v>
      </c>
      <c r="BJ83" s="1">
        <v>0</v>
      </c>
    </row>
    <row r="84" spans="1:62" x14ac:dyDescent="0.3">
      <c r="A84" s="1">
        <v>1</v>
      </c>
      <c r="B84" s="1">
        <v>83</v>
      </c>
      <c r="C84" s="1" t="s">
        <v>74</v>
      </c>
      <c r="D84">
        <v>0</v>
      </c>
      <c r="E84" s="6">
        <v>43185</v>
      </c>
      <c r="F84" s="1" t="s">
        <v>121</v>
      </c>
      <c r="G84" s="1">
        <v>0</v>
      </c>
      <c r="H84" s="1">
        <v>0</v>
      </c>
      <c r="I84" s="1">
        <v>2</v>
      </c>
      <c r="J84" s="1" t="s">
        <v>194</v>
      </c>
      <c r="K84" s="1">
        <v>17.88</v>
      </c>
      <c r="L84" s="1">
        <v>0</v>
      </c>
      <c r="M84" s="1">
        <v>0</v>
      </c>
      <c r="N84" s="1">
        <v>1</v>
      </c>
      <c r="O84" s="1">
        <v>0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2</v>
      </c>
      <c r="AA84">
        <v>0.78935999999999995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 s="1">
        <v>1</v>
      </c>
      <c r="BE84" s="1">
        <v>0</v>
      </c>
      <c r="BF84" s="1">
        <v>0</v>
      </c>
      <c r="BG84" s="1">
        <v>8</v>
      </c>
      <c r="BH84">
        <f>3898.29+5686</f>
        <v>9584.2900000000009</v>
      </c>
      <c r="BI84" s="1">
        <v>1</v>
      </c>
      <c r="BJ84" s="1">
        <v>0</v>
      </c>
    </row>
    <row r="85" spans="1:62" x14ac:dyDescent="0.3">
      <c r="A85" s="1">
        <v>1</v>
      </c>
      <c r="B85" s="1">
        <v>84</v>
      </c>
      <c r="C85" s="1" t="s">
        <v>60</v>
      </c>
      <c r="D85">
        <v>0</v>
      </c>
      <c r="E85" s="6">
        <v>42747</v>
      </c>
      <c r="F85" s="1" t="s">
        <v>56</v>
      </c>
      <c r="G85" s="1">
        <v>0</v>
      </c>
      <c r="H85" s="1">
        <v>0</v>
      </c>
      <c r="I85" s="1">
        <v>2</v>
      </c>
      <c r="J85" s="1" t="s">
        <v>191</v>
      </c>
      <c r="K85" s="1">
        <v>22.49</v>
      </c>
      <c r="L85" s="1">
        <v>1</v>
      </c>
      <c r="M85" s="1">
        <v>1</v>
      </c>
      <c r="N85" s="1">
        <v>1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2</v>
      </c>
      <c r="AA85">
        <v>2.0181</v>
      </c>
      <c r="AB85" s="1">
        <v>10.14</v>
      </c>
      <c r="AC85" s="1">
        <v>21</v>
      </c>
      <c r="AD85">
        <f>AB85*100/AC85</f>
        <v>48.285714285714285</v>
      </c>
      <c r="AK85" s="1">
        <v>73.3</v>
      </c>
      <c r="AL85" s="1">
        <v>46.1</v>
      </c>
      <c r="AM85" s="1">
        <v>24.9</v>
      </c>
      <c r="AQ85">
        <f>AL85/AM85</f>
        <v>1.85140562248996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13</v>
      </c>
      <c r="BH85" s="1">
        <v>32347.14</v>
      </c>
      <c r="BI85" s="1">
        <v>1</v>
      </c>
      <c r="BJ85" s="1">
        <v>0</v>
      </c>
    </row>
    <row r="86" spans="1:62" x14ac:dyDescent="0.3">
      <c r="A86">
        <v>1</v>
      </c>
      <c r="B86">
        <v>85</v>
      </c>
      <c r="C86" s="1" t="s">
        <v>60</v>
      </c>
      <c r="D86">
        <v>0</v>
      </c>
      <c r="E86" s="2">
        <v>43511</v>
      </c>
      <c r="F86" t="s">
        <v>64</v>
      </c>
      <c r="G86" s="1">
        <v>0</v>
      </c>
      <c r="H86" s="1">
        <v>0</v>
      </c>
      <c r="I86" s="1">
        <v>2</v>
      </c>
      <c r="J86" s="1" t="s">
        <v>195</v>
      </c>
      <c r="K86" s="1">
        <v>19.72</v>
      </c>
      <c r="L86" s="1">
        <v>2</v>
      </c>
      <c r="M86" s="1">
        <v>1</v>
      </c>
      <c r="N86" s="1">
        <v>1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1</v>
      </c>
      <c r="U86" s="1">
        <v>1</v>
      </c>
      <c r="V86" s="1">
        <v>0</v>
      </c>
      <c r="W86" s="1">
        <v>0</v>
      </c>
      <c r="X86" s="1">
        <v>0</v>
      </c>
      <c r="Y86" s="1">
        <v>0</v>
      </c>
      <c r="Z86" s="1">
        <v>2</v>
      </c>
      <c r="AA86" s="1">
        <v>1.1599999999999999</v>
      </c>
      <c r="AB86" s="1">
        <v>18.45</v>
      </c>
      <c r="AC86" s="1">
        <v>33</v>
      </c>
      <c r="AD86">
        <f>AB86*100/AC86</f>
        <v>55.909090909090907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</v>
      </c>
      <c r="BE86" s="1">
        <v>0</v>
      </c>
      <c r="BF86" s="1">
        <v>0</v>
      </c>
      <c r="BG86" s="1">
        <v>10</v>
      </c>
      <c r="BH86">
        <f>1794.32+4397+1033+155+480+580+510+500+223.65</f>
        <v>9672.9699999999993</v>
      </c>
      <c r="BI86" s="1">
        <v>1</v>
      </c>
      <c r="BJ86" s="1">
        <v>0</v>
      </c>
    </row>
    <row r="87" spans="1:62" x14ac:dyDescent="0.3">
      <c r="A87" s="1">
        <v>1</v>
      </c>
      <c r="B87" s="1">
        <v>86</v>
      </c>
      <c r="C87" s="1" t="s">
        <v>69</v>
      </c>
      <c r="D87">
        <v>0</v>
      </c>
      <c r="E87" s="6">
        <v>43084</v>
      </c>
      <c r="F87" s="1" t="s">
        <v>85</v>
      </c>
      <c r="G87" s="1">
        <v>0</v>
      </c>
      <c r="H87" s="1">
        <v>0</v>
      </c>
      <c r="I87" s="1">
        <v>2</v>
      </c>
      <c r="J87" s="1" t="s">
        <v>190</v>
      </c>
      <c r="K87" s="1">
        <v>26.37</v>
      </c>
      <c r="L87" s="1">
        <v>1</v>
      </c>
      <c r="M87" s="1">
        <v>0</v>
      </c>
      <c r="N87" s="1">
        <v>1</v>
      </c>
      <c r="O87" s="1">
        <v>0</v>
      </c>
      <c r="P87" s="1">
        <v>0</v>
      </c>
      <c r="Q87" s="1">
        <v>1</v>
      </c>
      <c r="R87" s="1">
        <v>1</v>
      </c>
      <c r="S87" s="1">
        <v>0</v>
      </c>
      <c r="T87" s="1">
        <v>0</v>
      </c>
      <c r="U87" s="1">
        <v>0</v>
      </c>
      <c r="V87" s="1">
        <v>0</v>
      </c>
      <c r="W87" s="1">
        <v>1</v>
      </c>
      <c r="X87" s="1">
        <v>1</v>
      </c>
      <c r="Y87" s="1">
        <v>0</v>
      </c>
      <c r="Z87" s="1">
        <v>1</v>
      </c>
      <c r="AA87">
        <v>1.9991999999999999</v>
      </c>
      <c r="AG87" s="1">
        <v>2.93</v>
      </c>
      <c r="AH87" s="1">
        <v>391</v>
      </c>
      <c r="AI87" s="1">
        <v>5</v>
      </c>
      <c r="AN87" s="1">
        <v>1526</v>
      </c>
      <c r="AO87" s="1">
        <v>638</v>
      </c>
      <c r="AP87" s="1">
        <v>848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8</v>
      </c>
      <c r="BH87" s="1">
        <v>17064.84</v>
      </c>
      <c r="BI87" s="1">
        <v>0</v>
      </c>
      <c r="BJ87" s="1">
        <v>0</v>
      </c>
    </row>
    <row r="88" spans="1:62" x14ac:dyDescent="0.3">
      <c r="A88" s="1">
        <v>1</v>
      </c>
      <c r="B88">
        <v>87</v>
      </c>
      <c r="C88" s="1" t="s">
        <v>60</v>
      </c>
      <c r="D88">
        <v>0</v>
      </c>
      <c r="E88" s="6">
        <v>42782</v>
      </c>
      <c r="F88" s="1" t="s">
        <v>53</v>
      </c>
      <c r="G88" s="1">
        <v>0</v>
      </c>
      <c r="H88" s="1">
        <v>0</v>
      </c>
      <c r="I88" s="1">
        <v>2</v>
      </c>
      <c r="J88" s="1" t="s">
        <v>191</v>
      </c>
      <c r="K88" s="1">
        <v>19.23</v>
      </c>
      <c r="L88" s="1">
        <v>0</v>
      </c>
      <c r="M88" s="1">
        <v>1</v>
      </c>
      <c r="N88" s="1">
        <v>1</v>
      </c>
      <c r="O88" s="1">
        <v>0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2</v>
      </c>
      <c r="AA88">
        <v>0.85022999999999982</v>
      </c>
      <c r="AB88" s="1">
        <v>17.649999999999999</v>
      </c>
      <c r="AC88" s="1">
        <v>21</v>
      </c>
      <c r="AD88">
        <f>AB88*100/AC88</f>
        <v>84.047619047619037</v>
      </c>
      <c r="AK88" s="1">
        <v>45.4</v>
      </c>
      <c r="AL88" s="1">
        <v>31.4</v>
      </c>
      <c r="AM88" s="1">
        <v>10.4</v>
      </c>
      <c r="AQ88">
        <f>AL88/AM88</f>
        <v>3.0192307692307692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1</v>
      </c>
      <c r="BE88" s="1">
        <v>0</v>
      </c>
      <c r="BF88" s="1">
        <v>0</v>
      </c>
      <c r="BG88" s="1">
        <v>7</v>
      </c>
      <c r="BH88" s="1">
        <v>9814.11</v>
      </c>
      <c r="BI88" s="1">
        <v>1</v>
      </c>
      <c r="BJ88" s="1">
        <v>0</v>
      </c>
    </row>
    <row r="89" spans="1:62" x14ac:dyDescent="0.3">
      <c r="A89" s="1">
        <v>1</v>
      </c>
      <c r="B89" s="1">
        <v>88</v>
      </c>
      <c r="C89" s="1" t="s">
        <v>57</v>
      </c>
      <c r="D89">
        <v>0</v>
      </c>
      <c r="E89" s="6">
        <v>42519</v>
      </c>
      <c r="F89" s="1" t="s">
        <v>53</v>
      </c>
      <c r="G89" s="1">
        <v>0</v>
      </c>
      <c r="H89" s="1">
        <v>0</v>
      </c>
      <c r="I89" s="1">
        <v>2</v>
      </c>
      <c r="J89" s="1" t="s">
        <v>195</v>
      </c>
      <c r="K89" s="1">
        <v>20.7</v>
      </c>
      <c r="L89" s="1">
        <v>0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0</v>
      </c>
      <c r="T89" s="1">
        <v>0</v>
      </c>
      <c r="U89" s="1">
        <v>1</v>
      </c>
      <c r="V89" s="1">
        <v>0</v>
      </c>
      <c r="W89" s="1">
        <v>0</v>
      </c>
      <c r="X89" s="1">
        <v>0</v>
      </c>
      <c r="Y89" s="1">
        <v>0</v>
      </c>
      <c r="Z89" s="1">
        <v>2</v>
      </c>
      <c r="AA89">
        <v>0.93963999999999981</v>
      </c>
      <c r="AB89" s="1">
        <v>7.28</v>
      </c>
      <c r="AC89" s="1">
        <v>21</v>
      </c>
      <c r="AD89">
        <f>AB89*100/AC89</f>
        <v>34.666666666666664</v>
      </c>
      <c r="AE89" s="1">
        <v>5</v>
      </c>
      <c r="AF89" s="1">
        <v>1018</v>
      </c>
      <c r="AG89" s="1">
        <v>8.83</v>
      </c>
      <c r="AH89" s="1">
        <v>167</v>
      </c>
      <c r="AI89" s="1">
        <v>5</v>
      </c>
      <c r="AK89" s="1">
        <v>92.7</v>
      </c>
      <c r="AL89" s="1">
        <v>30.1</v>
      </c>
      <c r="AM89" s="1">
        <v>60.2</v>
      </c>
      <c r="AQ89">
        <f>AL89/AM89</f>
        <v>0.5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2</v>
      </c>
      <c r="BE89" s="1">
        <v>0</v>
      </c>
      <c r="BF89" s="1">
        <v>0</v>
      </c>
      <c r="BG89" s="1">
        <v>5</v>
      </c>
      <c r="BH89" s="1">
        <v>9730.34</v>
      </c>
      <c r="BI89" s="1">
        <v>0</v>
      </c>
      <c r="BJ89" s="1">
        <v>0</v>
      </c>
    </row>
    <row r="90" spans="1:62" x14ac:dyDescent="0.3">
      <c r="A90" s="1">
        <v>1</v>
      </c>
      <c r="B90" s="1">
        <v>89</v>
      </c>
      <c r="C90" s="1" t="s">
        <v>54</v>
      </c>
      <c r="D90">
        <v>0</v>
      </c>
      <c r="E90" s="6">
        <v>43165</v>
      </c>
      <c r="F90" s="1" t="s">
        <v>105</v>
      </c>
      <c r="G90" s="1">
        <v>0</v>
      </c>
      <c r="H90" s="1">
        <v>1</v>
      </c>
      <c r="I90" s="1">
        <v>2</v>
      </c>
      <c r="J90" s="1" t="s">
        <v>191</v>
      </c>
      <c r="K90" s="1">
        <v>21.08</v>
      </c>
      <c r="L90" s="1">
        <v>1</v>
      </c>
      <c r="M90" s="1">
        <v>0</v>
      </c>
      <c r="N90" s="1">
        <v>1</v>
      </c>
      <c r="O90" s="1">
        <v>1</v>
      </c>
      <c r="P90" s="1">
        <v>0</v>
      </c>
      <c r="Q90" s="1">
        <v>1</v>
      </c>
      <c r="R90" s="1">
        <v>1</v>
      </c>
      <c r="S90" s="1">
        <v>0</v>
      </c>
      <c r="T90" s="1">
        <v>0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2</v>
      </c>
      <c r="AA90">
        <v>0.54599999999999993</v>
      </c>
      <c r="AB90" s="1">
        <v>9.9700000000000006</v>
      </c>
      <c r="AC90" s="1">
        <v>35</v>
      </c>
      <c r="AD90">
        <f>AB90*100/AC90</f>
        <v>28.485714285714288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23</v>
      </c>
      <c r="BH90" s="1">
        <v>39710.19</v>
      </c>
      <c r="BI90" s="1">
        <v>0</v>
      </c>
      <c r="BJ90" s="1">
        <v>1</v>
      </c>
    </row>
    <row r="91" spans="1:62" x14ac:dyDescent="0.3">
      <c r="A91" s="1">
        <v>1</v>
      </c>
      <c r="B91">
        <v>90</v>
      </c>
      <c r="C91" s="1" t="s">
        <v>54</v>
      </c>
      <c r="D91">
        <v>0</v>
      </c>
      <c r="E91" s="6">
        <v>42972</v>
      </c>
      <c r="F91" s="1" t="s">
        <v>53</v>
      </c>
      <c r="G91" s="1">
        <v>0</v>
      </c>
      <c r="H91" s="1">
        <v>0</v>
      </c>
      <c r="I91" s="1">
        <v>2</v>
      </c>
      <c r="J91" s="1" t="s">
        <v>194</v>
      </c>
      <c r="K91" s="1">
        <v>17.010000000000002</v>
      </c>
      <c r="L91" s="1">
        <v>2</v>
      </c>
      <c r="M91" s="1">
        <v>1</v>
      </c>
      <c r="N91" s="1">
        <v>1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</v>
      </c>
      <c r="AA91">
        <v>0.80191999999999997</v>
      </c>
      <c r="AB91" s="1">
        <v>11.23</v>
      </c>
      <c r="AC91" s="1">
        <v>21</v>
      </c>
      <c r="AD91">
        <f>AB91*100/AC91</f>
        <v>53.476190476190474</v>
      </c>
      <c r="AK91" s="1">
        <v>71</v>
      </c>
      <c r="AL91" s="1">
        <v>36.9</v>
      </c>
      <c r="AM91" s="1">
        <v>26.8</v>
      </c>
      <c r="AQ91">
        <f>AL91/AM91</f>
        <v>1.3768656716417909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2</v>
      </c>
      <c r="BE91" s="1">
        <v>0</v>
      </c>
      <c r="BF91" s="1">
        <v>0</v>
      </c>
      <c r="BG91" s="1">
        <v>6</v>
      </c>
      <c r="BH91" s="1">
        <v>9899.77</v>
      </c>
      <c r="BI91" s="1">
        <v>0</v>
      </c>
      <c r="BJ91" s="1">
        <v>0</v>
      </c>
    </row>
    <row r="92" spans="1:62" x14ac:dyDescent="0.3">
      <c r="A92" s="1">
        <v>1</v>
      </c>
      <c r="B92" s="1">
        <v>91</v>
      </c>
      <c r="C92" s="1" t="s">
        <v>69</v>
      </c>
      <c r="D92">
        <v>0</v>
      </c>
      <c r="E92" s="6">
        <v>42958</v>
      </c>
      <c r="F92" s="1" t="s">
        <v>85</v>
      </c>
      <c r="G92" s="1">
        <v>0</v>
      </c>
      <c r="H92" s="1">
        <v>0</v>
      </c>
      <c r="I92" s="1">
        <v>3</v>
      </c>
      <c r="J92" s="1" t="s">
        <v>188</v>
      </c>
      <c r="K92" s="1">
        <v>29.56</v>
      </c>
      <c r="L92" s="1">
        <v>0</v>
      </c>
      <c r="M92" s="1">
        <v>0</v>
      </c>
      <c r="N92" s="1">
        <v>1</v>
      </c>
      <c r="O92" s="1">
        <v>0</v>
      </c>
      <c r="P92" s="1">
        <v>0</v>
      </c>
      <c r="Q92" s="1">
        <v>1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</v>
      </c>
      <c r="Y92" s="1">
        <v>0</v>
      </c>
      <c r="Z92" s="1">
        <v>1</v>
      </c>
      <c r="AA92">
        <v>1.32114</v>
      </c>
      <c r="AK92" s="1">
        <v>57.5</v>
      </c>
      <c r="AL92" s="1">
        <v>41.4</v>
      </c>
      <c r="AM92" s="1">
        <v>15.3</v>
      </c>
      <c r="AN92" s="1">
        <v>1064</v>
      </c>
      <c r="AO92" s="1">
        <v>766</v>
      </c>
      <c r="AP92" s="1">
        <v>283</v>
      </c>
      <c r="AQ92">
        <f>AL92/AM92</f>
        <v>2.7058823529411762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1</v>
      </c>
      <c r="BE92" s="1">
        <v>0</v>
      </c>
      <c r="BF92" s="1">
        <v>0</v>
      </c>
      <c r="BG92" s="1">
        <v>8</v>
      </c>
      <c r="BH92" s="1">
        <v>15643.24</v>
      </c>
      <c r="BI92" s="1">
        <v>0</v>
      </c>
      <c r="BJ92" s="1">
        <v>0</v>
      </c>
    </row>
    <row r="93" spans="1:62" x14ac:dyDescent="0.3">
      <c r="A93">
        <v>1</v>
      </c>
      <c r="B93">
        <v>92</v>
      </c>
      <c r="C93" s="1" t="s">
        <v>60</v>
      </c>
      <c r="D93">
        <v>0</v>
      </c>
      <c r="E93" s="2">
        <v>43499</v>
      </c>
      <c r="F93" t="s">
        <v>139</v>
      </c>
      <c r="G93" s="1">
        <v>0</v>
      </c>
      <c r="H93" s="1">
        <v>0</v>
      </c>
      <c r="I93" s="1">
        <v>2</v>
      </c>
      <c r="J93" s="1" t="s">
        <v>191</v>
      </c>
      <c r="K93" s="1">
        <v>20.7</v>
      </c>
      <c r="L93" s="1">
        <v>0</v>
      </c>
      <c r="M93" s="1">
        <v>1</v>
      </c>
      <c r="N93" s="1">
        <v>0</v>
      </c>
      <c r="O93" s="1">
        <v>0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2</v>
      </c>
      <c r="AA93" s="1">
        <v>2.67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 s="1">
        <v>0</v>
      </c>
      <c r="BF93" s="1">
        <v>0</v>
      </c>
      <c r="BG93" s="1">
        <v>13</v>
      </c>
      <c r="BH93">
        <f>3593.16+28.95+3256+389+419+754+656+650+323.5</f>
        <v>10069.61</v>
      </c>
      <c r="BI93" s="1">
        <v>1</v>
      </c>
      <c r="BJ93" s="1">
        <v>0</v>
      </c>
    </row>
    <row r="94" spans="1:62" x14ac:dyDescent="0.3">
      <c r="A94">
        <v>1</v>
      </c>
      <c r="B94" s="1">
        <v>93</v>
      </c>
      <c r="C94" s="1" t="s">
        <v>60</v>
      </c>
      <c r="D94">
        <v>0</v>
      </c>
      <c r="E94" s="2">
        <v>43495</v>
      </c>
      <c r="F94" t="s">
        <v>53</v>
      </c>
      <c r="G94" s="1">
        <v>0</v>
      </c>
      <c r="H94" s="1">
        <v>0</v>
      </c>
      <c r="I94" s="1">
        <v>2</v>
      </c>
      <c r="J94" s="1" t="s">
        <v>191</v>
      </c>
      <c r="K94" s="1">
        <v>27.1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1</v>
      </c>
      <c r="X94" s="1">
        <v>0</v>
      </c>
      <c r="Y94" s="1">
        <v>0</v>
      </c>
      <c r="Z94" s="1">
        <v>2</v>
      </c>
      <c r="AA94" s="1">
        <v>1.34</v>
      </c>
      <c r="AK94">
        <v>80.599999999999994</v>
      </c>
      <c r="AL94">
        <v>43.9</v>
      </c>
      <c r="AM94">
        <v>35.200000000000003</v>
      </c>
      <c r="AQ94">
        <f>AL94/AM94</f>
        <v>1.2471590909090908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1</v>
      </c>
      <c r="BC94">
        <v>0</v>
      </c>
      <c r="BD94">
        <v>3</v>
      </c>
      <c r="BE94" s="1">
        <v>0</v>
      </c>
      <c r="BF94" s="1">
        <v>0</v>
      </c>
      <c r="BG94" s="1">
        <v>7</v>
      </c>
      <c r="BH94">
        <f>2477.98+32.8+5134+629+137+288+406+364+350+31.5</f>
        <v>9850.2800000000007</v>
      </c>
      <c r="BI94" s="1">
        <v>0</v>
      </c>
      <c r="BJ94" s="1">
        <v>0</v>
      </c>
    </row>
    <row r="95" spans="1:62" x14ac:dyDescent="0.3">
      <c r="A95">
        <v>1</v>
      </c>
      <c r="B95" s="1">
        <v>94</v>
      </c>
      <c r="C95" s="1" t="s">
        <v>60</v>
      </c>
      <c r="D95">
        <v>0</v>
      </c>
      <c r="E95" s="2">
        <v>43528</v>
      </c>
      <c r="F95" t="s">
        <v>139</v>
      </c>
      <c r="G95" s="1">
        <v>0</v>
      </c>
      <c r="H95" s="1">
        <v>0</v>
      </c>
      <c r="I95" s="1">
        <v>2</v>
      </c>
      <c r="J95" s="1" t="s">
        <v>193</v>
      </c>
      <c r="K95" s="1">
        <v>15.43</v>
      </c>
      <c r="L95" s="1">
        <v>0</v>
      </c>
      <c r="M95" s="1">
        <v>1</v>
      </c>
      <c r="N95" s="1">
        <v>1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1</v>
      </c>
      <c r="Z95" s="1">
        <v>1</v>
      </c>
      <c r="AA95" s="1">
        <v>1.5</v>
      </c>
      <c r="AB95" s="1">
        <v>15.36</v>
      </c>
      <c r="AC95" s="1">
        <v>41</v>
      </c>
      <c r="AD95">
        <f>AB95*100/AC95</f>
        <v>37.463414634146339</v>
      </c>
      <c r="AK95">
        <v>77.7</v>
      </c>
      <c r="AL95">
        <v>20.3</v>
      </c>
      <c r="AM95">
        <v>55.8</v>
      </c>
      <c r="AQ95">
        <f>AL95/AM95</f>
        <v>0.36379928315412191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3</v>
      </c>
      <c r="BE95" s="1">
        <v>0</v>
      </c>
      <c r="BF95" s="1">
        <v>0</v>
      </c>
      <c r="BG95" s="1">
        <v>6</v>
      </c>
      <c r="BH95">
        <f>2051.49+6171+544+150+377+323+325+171.15</f>
        <v>10112.64</v>
      </c>
      <c r="BI95" s="1">
        <v>0</v>
      </c>
      <c r="BJ95" s="1">
        <v>0</v>
      </c>
    </row>
    <row r="96" spans="1:62" x14ac:dyDescent="0.3">
      <c r="A96" s="1">
        <v>1</v>
      </c>
      <c r="B96">
        <v>95</v>
      </c>
      <c r="C96" s="1" t="s">
        <v>57</v>
      </c>
      <c r="D96">
        <v>0</v>
      </c>
      <c r="E96" s="6">
        <v>43060</v>
      </c>
      <c r="F96" s="1" t="s">
        <v>121</v>
      </c>
      <c r="G96" s="1">
        <v>0</v>
      </c>
      <c r="H96" s="1">
        <v>0</v>
      </c>
      <c r="I96" s="1">
        <v>2</v>
      </c>
      <c r="J96" s="1" t="s">
        <v>195</v>
      </c>
      <c r="K96" s="1">
        <v>24.39</v>
      </c>
      <c r="L96" s="1">
        <v>2</v>
      </c>
      <c r="M96" s="1">
        <v>1</v>
      </c>
      <c r="N96" s="1">
        <v>1</v>
      </c>
      <c r="O96" s="1">
        <v>0</v>
      </c>
      <c r="P96" s="1">
        <v>1</v>
      </c>
      <c r="Q96" s="1">
        <v>1</v>
      </c>
      <c r="R96" s="1">
        <v>1</v>
      </c>
      <c r="S96" s="1">
        <v>0</v>
      </c>
      <c r="T96" s="1">
        <v>1</v>
      </c>
      <c r="U96" s="1">
        <v>0</v>
      </c>
      <c r="V96" s="1">
        <v>0</v>
      </c>
      <c r="W96" s="1">
        <v>1</v>
      </c>
      <c r="X96" s="1">
        <v>0</v>
      </c>
      <c r="Y96" s="1">
        <v>0</v>
      </c>
      <c r="Z96" s="1">
        <v>2</v>
      </c>
      <c r="AA96">
        <v>0.41670000000000001</v>
      </c>
      <c r="AR96">
        <v>1</v>
      </c>
      <c r="AS96">
        <v>1</v>
      </c>
      <c r="AT96">
        <v>0</v>
      </c>
      <c r="AU96">
        <v>0</v>
      </c>
      <c r="AV96">
        <v>0</v>
      </c>
      <c r="AW96">
        <v>0</v>
      </c>
      <c r="AX96">
        <v>1</v>
      </c>
      <c r="AY96">
        <v>0</v>
      </c>
      <c r="AZ96">
        <v>0</v>
      </c>
      <c r="BA96">
        <v>0</v>
      </c>
      <c r="BB96">
        <v>0</v>
      </c>
      <c r="BC96">
        <v>0</v>
      </c>
      <c r="BD96" s="1">
        <v>2</v>
      </c>
      <c r="BE96" s="1">
        <v>0</v>
      </c>
      <c r="BF96" s="1">
        <v>0</v>
      </c>
      <c r="BG96" s="1">
        <v>15</v>
      </c>
      <c r="BH96" s="1">
        <v>6848.87</v>
      </c>
      <c r="BI96" s="1">
        <v>0</v>
      </c>
      <c r="BJ96" s="1">
        <v>0</v>
      </c>
    </row>
    <row r="97" spans="1:62" x14ac:dyDescent="0.3">
      <c r="A97">
        <v>1</v>
      </c>
      <c r="B97" s="1">
        <v>96</v>
      </c>
      <c r="C97" s="1" t="s">
        <v>60</v>
      </c>
      <c r="D97">
        <v>0</v>
      </c>
      <c r="E97" s="2">
        <v>43496</v>
      </c>
      <c r="F97" t="s">
        <v>53</v>
      </c>
      <c r="G97" s="1">
        <v>0</v>
      </c>
      <c r="H97" s="1">
        <v>0</v>
      </c>
      <c r="I97" s="1">
        <v>2</v>
      </c>
      <c r="J97" s="1" t="s">
        <v>191</v>
      </c>
      <c r="K97" s="1">
        <v>22.83</v>
      </c>
      <c r="L97" s="1">
        <v>0</v>
      </c>
      <c r="M97" s="1">
        <v>1</v>
      </c>
      <c r="N97" s="1">
        <v>1</v>
      </c>
      <c r="O97" s="1">
        <v>0</v>
      </c>
      <c r="P97" s="1"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2</v>
      </c>
      <c r="AA97" s="1">
        <v>1.4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1</v>
      </c>
      <c r="BE97" s="1">
        <v>0</v>
      </c>
      <c r="BF97" s="1">
        <v>0</v>
      </c>
      <c r="BG97" s="1">
        <v>10</v>
      </c>
      <c r="BH97">
        <f>3499.62+3926+1040+149+48+551+494+475+15.75</f>
        <v>10198.369999999999</v>
      </c>
      <c r="BI97" s="1">
        <v>1</v>
      </c>
      <c r="BJ97" s="1">
        <v>0</v>
      </c>
    </row>
    <row r="98" spans="1:62" x14ac:dyDescent="0.3">
      <c r="A98">
        <v>1</v>
      </c>
      <c r="B98">
        <v>97</v>
      </c>
      <c r="C98" t="s">
        <v>49</v>
      </c>
      <c r="D98">
        <v>0</v>
      </c>
      <c r="E98" s="2">
        <v>43499</v>
      </c>
      <c r="F98" t="s">
        <v>121</v>
      </c>
      <c r="G98" s="1">
        <v>0</v>
      </c>
      <c r="H98" s="1">
        <v>0</v>
      </c>
      <c r="I98" s="1">
        <v>3</v>
      </c>
      <c r="J98" s="1" t="s">
        <v>191</v>
      </c>
      <c r="K98" s="1">
        <v>20.65</v>
      </c>
      <c r="L98" s="1">
        <v>0</v>
      </c>
      <c r="M98" s="1">
        <v>1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</v>
      </c>
      <c r="AA98" s="1">
        <v>1.44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 s="1">
        <v>0</v>
      </c>
      <c r="BF98" s="1">
        <v>0</v>
      </c>
      <c r="BG98" s="1">
        <v>6</v>
      </c>
      <c r="BH98">
        <f>2589.49+327.48+5262+810+102+14+600+252+300</f>
        <v>10256.969999999999</v>
      </c>
      <c r="BI98" s="1">
        <v>0</v>
      </c>
      <c r="BJ98" s="1">
        <v>0</v>
      </c>
    </row>
    <row r="99" spans="1:62" x14ac:dyDescent="0.3">
      <c r="A99" s="1">
        <v>1</v>
      </c>
      <c r="B99" s="1">
        <v>98</v>
      </c>
      <c r="C99" s="1" t="s">
        <v>60</v>
      </c>
      <c r="D99">
        <v>0</v>
      </c>
      <c r="E99" s="6">
        <v>43142</v>
      </c>
      <c r="F99" s="1" t="s">
        <v>105</v>
      </c>
      <c r="G99" s="1">
        <v>0</v>
      </c>
      <c r="H99" s="1">
        <v>0</v>
      </c>
      <c r="I99" s="1">
        <v>2</v>
      </c>
      <c r="J99" s="1" t="s">
        <v>191</v>
      </c>
      <c r="K99" s="1">
        <v>24.65</v>
      </c>
      <c r="L99" s="1">
        <v>0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</v>
      </c>
      <c r="AA99">
        <v>0.98580000000000001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7</v>
      </c>
      <c r="BH99" s="1">
        <v>10307.719999999999</v>
      </c>
      <c r="BI99" s="1">
        <v>1</v>
      </c>
      <c r="BJ99" s="1">
        <v>0</v>
      </c>
    </row>
    <row r="100" spans="1:62" x14ac:dyDescent="0.3">
      <c r="A100">
        <v>1</v>
      </c>
      <c r="B100" s="1">
        <v>99</v>
      </c>
      <c r="C100" s="1" t="s">
        <v>60</v>
      </c>
      <c r="D100">
        <v>0</v>
      </c>
      <c r="E100" s="2">
        <v>43489</v>
      </c>
      <c r="F100" t="s">
        <v>56</v>
      </c>
      <c r="G100" s="1">
        <v>0</v>
      </c>
      <c r="H100" s="1">
        <v>0</v>
      </c>
      <c r="I100" s="1">
        <v>2</v>
      </c>
      <c r="J100" s="1" t="s">
        <v>191</v>
      </c>
      <c r="K100" s="1">
        <v>20.96</v>
      </c>
      <c r="L100" s="1">
        <v>0</v>
      </c>
      <c r="M100" s="1">
        <v>1</v>
      </c>
      <c r="N100" s="1">
        <v>1</v>
      </c>
      <c r="O100" s="1">
        <v>0</v>
      </c>
      <c r="P100" s="1">
        <v>1</v>
      </c>
      <c r="Q100" s="1">
        <v>0</v>
      </c>
      <c r="R100" s="1">
        <v>0</v>
      </c>
      <c r="S100" s="1">
        <v>1</v>
      </c>
      <c r="T100" s="1">
        <v>1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2</v>
      </c>
      <c r="AA100" s="1">
        <v>2.89</v>
      </c>
      <c r="AB100" s="1">
        <v>11.01</v>
      </c>
      <c r="AC100" s="1">
        <v>33</v>
      </c>
      <c r="AD100">
        <f>AB100*100/AC100</f>
        <v>33.363636363636367</v>
      </c>
      <c r="AK100">
        <v>56.6</v>
      </c>
      <c r="AL100">
        <v>35</v>
      </c>
      <c r="AM100">
        <v>21.7</v>
      </c>
      <c r="AN100">
        <v>1636</v>
      </c>
      <c r="AP100">
        <v>627</v>
      </c>
      <c r="AQ100">
        <f>AL100/AM100</f>
        <v>1.6129032258064517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 s="1">
        <v>0</v>
      </c>
      <c r="BF100" s="1">
        <v>0</v>
      </c>
      <c r="BG100" s="1">
        <v>11</v>
      </c>
      <c r="BH100">
        <f>5189.71+3053+922+136+288+360+180+90+125.4</f>
        <v>10344.109999999999</v>
      </c>
      <c r="BI100" s="1">
        <v>0</v>
      </c>
      <c r="BJ100" s="1">
        <v>1</v>
      </c>
    </row>
    <row r="101" spans="1:62" x14ac:dyDescent="0.3">
      <c r="A101" s="1">
        <v>1</v>
      </c>
      <c r="B101">
        <v>100</v>
      </c>
      <c r="C101" s="1" t="s">
        <v>54</v>
      </c>
      <c r="D101">
        <v>0</v>
      </c>
      <c r="E101" s="6">
        <v>42969</v>
      </c>
      <c r="F101" s="1" t="s">
        <v>85</v>
      </c>
      <c r="G101" s="1">
        <v>0</v>
      </c>
      <c r="H101" s="1">
        <v>1</v>
      </c>
      <c r="I101" s="1">
        <v>2</v>
      </c>
      <c r="J101" s="1" t="s">
        <v>192</v>
      </c>
      <c r="K101" s="1">
        <v>22.96</v>
      </c>
      <c r="L101" s="1">
        <v>1</v>
      </c>
      <c r="M101" s="1">
        <v>1</v>
      </c>
      <c r="N101" s="1">
        <v>1</v>
      </c>
      <c r="O101" s="1">
        <v>1</v>
      </c>
      <c r="P101" s="1">
        <v>0</v>
      </c>
      <c r="Q101" s="1">
        <v>1</v>
      </c>
      <c r="R101" s="1">
        <v>1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</v>
      </c>
      <c r="Y101" s="1">
        <v>0</v>
      </c>
      <c r="Z101" s="1">
        <v>2</v>
      </c>
      <c r="AA101">
        <v>1.1808000000000001</v>
      </c>
      <c r="AB101" s="1">
        <v>7.47</v>
      </c>
      <c r="AC101" s="1">
        <v>100</v>
      </c>
      <c r="AD101">
        <f>AB101*100/AC101</f>
        <v>7.47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1</v>
      </c>
      <c r="BD101" s="1">
        <v>3</v>
      </c>
      <c r="BE101" s="1">
        <v>0</v>
      </c>
      <c r="BF101" s="1">
        <v>0</v>
      </c>
      <c r="BG101" s="1">
        <v>18</v>
      </c>
      <c r="BH101" s="1">
        <v>53277.67</v>
      </c>
      <c r="BI101" s="1">
        <v>0</v>
      </c>
      <c r="BJ101" s="1">
        <v>0</v>
      </c>
    </row>
    <row r="102" spans="1:62" x14ac:dyDescent="0.3">
      <c r="A102">
        <v>1</v>
      </c>
      <c r="B102" s="1">
        <v>101</v>
      </c>
      <c r="C102" t="s">
        <v>54</v>
      </c>
      <c r="D102">
        <v>0</v>
      </c>
      <c r="E102" s="2">
        <v>43524</v>
      </c>
      <c r="F102" t="s">
        <v>56</v>
      </c>
      <c r="G102" s="1">
        <v>0</v>
      </c>
      <c r="H102" s="1">
        <v>0</v>
      </c>
      <c r="I102" s="1">
        <v>1</v>
      </c>
      <c r="J102" s="1" t="s">
        <v>188</v>
      </c>
      <c r="K102" s="1">
        <v>26.99</v>
      </c>
      <c r="L102" s="1">
        <v>1</v>
      </c>
      <c r="M102" s="1">
        <v>1</v>
      </c>
      <c r="N102" s="1">
        <v>1</v>
      </c>
      <c r="O102" s="1">
        <v>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1</v>
      </c>
      <c r="AA102" s="1">
        <v>1.3</v>
      </c>
      <c r="AB102" s="1">
        <v>11.85</v>
      </c>
      <c r="AC102" s="1">
        <v>21</v>
      </c>
      <c r="AD102">
        <f>AB102*100/AC102</f>
        <v>56.428571428571431</v>
      </c>
      <c r="AK102">
        <v>64.599999999999994</v>
      </c>
      <c r="AL102">
        <v>47.4</v>
      </c>
      <c r="AM102">
        <v>16.399999999999999</v>
      </c>
      <c r="AN102">
        <v>1156</v>
      </c>
      <c r="AO102">
        <v>848</v>
      </c>
      <c r="AP102">
        <v>294</v>
      </c>
      <c r="AQ102">
        <f>AL102/AM102</f>
        <v>2.8902439024390247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 s="1">
        <v>0</v>
      </c>
      <c r="BF102" s="1">
        <v>0</v>
      </c>
      <c r="BG102" s="1">
        <v>9</v>
      </c>
      <c r="BH102">
        <f>753.22+29.85+4623+2607+864+14+524+378+450+222.61</f>
        <v>10465.68</v>
      </c>
      <c r="BI102" s="1">
        <v>0</v>
      </c>
      <c r="BJ102" s="1">
        <v>0</v>
      </c>
    </row>
    <row r="103" spans="1:62" x14ac:dyDescent="0.3">
      <c r="A103" s="1">
        <v>1</v>
      </c>
      <c r="B103">
        <v>102</v>
      </c>
      <c r="C103" s="1" t="s">
        <v>74</v>
      </c>
      <c r="D103">
        <v>0</v>
      </c>
      <c r="E103" s="6">
        <v>42850</v>
      </c>
      <c r="F103" s="1" t="s">
        <v>61</v>
      </c>
      <c r="G103" s="1">
        <v>0</v>
      </c>
      <c r="H103" s="1">
        <v>1</v>
      </c>
      <c r="I103" s="1">
        <v>3</v>
      </c>
      <c r="J103" s="1" t="s">
        <v>190</v>
      </c>
      <c r="K103" s="1">
        <v>34.6</v>
      </c>
      <c r="L103" s="1">
        <v>1</v>
      </c>
      <c r="M103" s="1">
        <v>1</v>
      </c>
      <c r="N103" s="1">
        <v>1</v>
      </c>
      <c r="O103" s="1">
        <v>1</v>
      </c>
      <c r="P103" s="1">
        <v>0</v>
      </c>
      <c r="Q103" s="1">
        <v>1</v>
      </c>
      <c r="R103" s="1">
        <v>1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1</v>
      </c>
      <c r="Y103" s="1">
        <v>0</v>
      </c>
      <c r="Z103" s="1">
        <v>2</v>
      </c>
      <c r="AA103">
        <v>1.1268400000000001</v>
      </c>
      <c r="AB103" s="1">
        <v>12.26</v>
      </c>
      <c r="AC103" s="1">
        <v>45</v>
      </c>
      <c r="AD103">
        <f>AB103*100/AC103</f>
        <v>27.244444444444444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1</v>
      </c>
      <c r="BE103" s="1">
        <v>2</v>
      </c>
      <c r="BF103" s="1">
        <v>1</v>
      </c>
      <c r="BG103" s="1">
        <v>22</v>
      </c>
      <c r="BH103" s="1">
        <v>70117.97</v>
      </c>
      <c r="BI103" s="1">
        <v>0</v>
      </c>
      <c r="BJ103" s="1">
        <v>0</v>
      </c>
    </row>
    <row r="104" spans="1:62" x14ac:dyDescent="0.3">
      <c r="A104" s="1">
        <v>1</v>
      </c>
      <c r="B104" s="1">
        <v>103</v>
      </c>
      <c r="C104" s="1" t="s">
        <v>54</v>
      </c>
      <c r="D104">
        <v>0</v>
      </c>
      <c r="E104" s="6">
        <v>43125</v>
      </c>
      <c r="F104" s="1" t="s">
        <v>53</v>
      </c>
      <c r="G104" s="1">
        <v>0</v>
      </c>
      <c r="H104" s="1">
        <v>1</v>
      </c>
      <c r="I104" s="1">
        <v>2</v>
      </c>
      <c r="J104" s="1" t="s">
        <v>192</v>
      </c>
      <c r="K104" s="1">
        <v>20.309999999999999</v>
      </c>
      <c r="L104" s="1">
        <v>2</v>
      </c>
      <c r="M104" s="1">
        <v>1</v>
      </c>
      <c r="N104" s="1">
        <v>1</v>
      </c>
      <c r="O104" s="1">
        <v>1</v>
      </c>
      <c r="P104" s="1">
        <v>0</v>
      </c>
      <c r="Q104" s="1">
        <v>1</v>
      </c>
      <c r="R104" s="1">
        <v>0</v>
      </c>
      <c r="S104" s="1">
        <v>0</v>
      </c>
      <c r="T104" s="1">
        <v>1</v>
      </c>
      <c r="U104" s="1">
        <v>1</v>
      </c>
      <c r="V104" s="1">
        <v>1</v>
      </c>
      <c r="W104" s="1">
        <v>0</v>
      </c>
      <c r="X104" s="1">
        <v>0</v>
      </c>
      <c r="Y104" s="1">
        <v>0</v>
      </c>
      <c r="Z104" s="1">
        <v>2</v>
      </c>
      <c r="AA104">
        <v>2.0318999999999998</v>
      </c>
      <c r="AB104" s="1">
        <v>13.14</v>
      </c>
      <c r="AC104" s="1">
        <v>33</v>
      </c>
      <c r="AD104">
        <f>AB104*100/AC104</f>
        <v>39.81818181818182</v>
      </c>
      <c r="AE104" s="1">
        <v>5</v>
      </c>
      <c r="AF104" s="1">
        <v>571</v>
      </c>
      <c r="AG104" s="1">
        <v>2</v>
      </c>
      <c r="AH104" s="1">
        <v>47.5</v>
      </c>
      <c r="AI104" s="1">
        <v>5</v>
      </c>
      <c r="AJ104" s="1">
        <v>7.23</v>
      </c>
      <c r="AK104" s="1">
        <v>57.6</v>
      </c>
      <c r="AL104" s="1">
        <v>27.8</v>
      </c>
      <c r="AM104" s="1">
        <v>25.5</v>
      </c>
      <c r="AN104" s="1">
        <v>1175</v>
      </c>
      <c r="AO104" s="1">
        <v>567</v>
      </c>
      <c r="AP104" s="1">
        <v>520</v>
      </c>
      <c r="AQ104">
        <f>AL104/AM104</f>
        <v>1.0901960784313727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2</v>
      </c>
      <c r="BE104" s="1">
        <v>0</v>
      </c>
      <c r="BF104" s="1">
        <v>0</v>
      </c>
      <c r="BG104" s="1">
        <v>16</v>
      </c>
      <c r="BH104" s="1">
        <v>13410.17</v>
      </c>
      <c r="BI104" s="1">
        <v>0</v>
      </c>
      <c r="BJ104" s="1">
        <v>1</v>
      </c>
    </row>
    <row r="105" spans="1:62" x14ac:dyDescent="0.3">
      <c r="A105" s="1">
        <v>1</v>
      </c>
      <c r="B105" s="1">
        <v>104</v>
      </c>
      <c r="C105" s="1" t="s">
        <v>114</v>
      </c>
      <c r="D105">
        <v>1</v>
      </c>
      <c r="E105" s="6">
        <v>43266</v>
      </c>
      <c r="F105" s="1" t="s">
        <v>59</v>
      </c>
      <c r="G105" s="1">
        <v>0</v>
      </c>
      <c r="H105" s="1">
        <v>0</v>
      </c>
      <c r="I105" s="1">
        <v>2</v>
      </c>
      <c r="J105" s="1" t="s">
        <v>194</v>
      </c>
      <c r="K105" s="1">
        <v>23.03</v>
      </c>
      <c r="L105" s="1">
        <v>0</v>
      </c>
      <c r="M105" s="1">
        <v>0</v>
      </c>
      <c r="N105" s="1">
        <v>1</v>
      </c>
      <c r="O105" s="1">
        <v>0</v>
      </c>
      <c r="P105" s="1">
        <v>1</v>
      </c>
      <c r="Q105" s="1">
        <v>1</v>
      </c>
      <c r="R105" s="1">
        <v>0</v>
      </c>
      <c r="S105" s="1">
        <v>0</v>
      </c>
      <c r="T105" s="1">
        <v>1</v>
      </c>
      <c r="U105" s="1">
        <v>1</v>
      </c>
      <c r="V105" s="1">
        <v>1</v>
      </c>
      <c r="W105" s="1">
        <v>0</v>
      </c>
      <c r="X105" s="1">
        <v>0</v>
      </c>
      <c r="Y105" s="1">
        <v>0</v>
      </c>
      <c r="Z105" s="1">
        <v>2</v>
      </c>
      <c r="AA105" s="1">
        <v>2.33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1</v>
      </c>
      <c r="BE105" s="1">
        <v>0</v>
      </c>
      <c r="BF105" s="1">
        <v>0</v>
      </c>
      <c r="BG105" s="1">
        <v>30</v>
      </c>
      <c r="BH105" s="1">
        <v>33374.879999999997</v>
      </c>
      <c r="BI105" s="1">
        <v>0</v>
      </c>
      <c r="BJ105" s="1">
        <v>0</v>
      </c>
    </row>
    <row r="106" spans="1:62" x14ac:dyDescent="0.3">
      <c r="A106" s="1">
        <v>1</v>
      </c>
      <c r="B106">
        <v>105</v>
      </c>
      <c r="C106" s="1" t="s">
        <v>71</v>
      </c>
      <c r="D106">
        <v>0</v>
      </c>
      <c r="E106" s="6">
        <v>43117</v>
      </c>
      <c r="F106" s="1" t="s">
        <v>59</v>
      </c>
      <c r="G106" s="1">
        <v>0</v>
      </c>
      <c r="H106" s="1">
        <v>0</v>
      </c>
      <c r="I106" s="1">
        <v>2</v>
      </c>
      <c r="J106" s="1" t="s">
        <v>191</v>
      </c>
      <c r="K106" s="1">
        <v>24.21</v>
      </c>
      <c r="L106" s="1">
        <v>1</v>
      </c>
      <c r="M106" s="1">
        <v>1</v>
      </c>
      <c r="N106" s="1">
        <v>0</v>
      </c>
      <c r="O106" s="1">
        <v>0</v>
      </c>
      <c r="P106" s="1">
        <v>1</v>
      </c>
      <c r="Q106" s="1">
        <v>1</v>
      </c>
      <c r="R106" s="1">
        <v>0</v>
      </c>
      <c r="S106" s="1">
        <v>1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</v>
      </c>
      <c r="AA106">
        <v>1.02942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28</v>
      </c>
      <c r="BH106" s="1">
        <v>16431.759999999998</v>
      </c>
      <c r="BI106" s="1">
        <v>0</v>
      </c>
      <c r="BJ106" s="1">
        <v>0</v>
      </c>
    </row>
    <row r="107" spans="1:62" x14ac:dyDescent="0.3">
      <c r="A107" s="1">
        <v>1</v>
      </c>
      <c r="B107" s="1">
        <v>106</v>
      </c>
      <c r="C107" s="1" t="s">
        <v>71</v>
      </c>
      <c r="D107">
        <v>0</v>
      </c>
      <c r="E107" s="6">
        <v>43105</v>
      </c>
      <c r="F107" s="1" t="s">
        <v>85</v>
      </c>
      <c r="G107" s="1">
        <v>0</v>
      </c>
      <c r="H107" s="1">
        <v>1</v>
      </c>
      <c r="I107" s="1">
        <v>2</v>
      </c>
      <c r="J107" s="1" t="s">
        <v>195</v>
      </c>
      <c r="K107" s="1">
        <v>23.74</v>
      </c>
      <c r="L107" s="1">
        <v>0</v>
      </c>
      <c r="M107" s="1">
        <v>0</v>
      </c>
      <c r="N107" s="1">
        <v>1</v>
      </c>
      <c r="O107" s="1">
        <v>0</v>
      </c>
      <c r="P107" s="1">
        <v>0</v>
      </c>
      <c r="Q107" s="1">
        <v>1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1</v>
      </c>
      <c r="Y107" s="1">
        <v>0</v>
      </c>
      <c r="Z107" s="1">
        <v>2</v>
      </c>
      <c r="AA107">
        <v>0.44280000000000003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2</v>
      </c>
      <c r="BE107" s="1">
        <v>0</v>
      </c>
      <c r="BF107" s="1">
        <v>0</v>
      </c>
      <c r="BG107" s="1">
        <v>8</v>
      </c>
      <c r="BH107" s="1">
        <v>26787.19</v>
      </c>
      <c r="BI107" s="1">
        <v>0</v>
      </c>
      <c r="BJ107" s="1">
        <v>0</v>
      </c>
    </row>
    <row r="108" spans="1:62" x14ac:dyDescent="0.3">
      <c r="A108">
        <v>1</v>
      </c>
      <c r="B108">
        <v>107</v>
      </c>
      <c r="C108" t="s">
        <v>69</v>
      </c>
      <c r="D108">
        <v>0</v>
      </c>
      <c r="E108" s="2" t="s">
        <v>155</v>
      </c>
      <c r="F108" s="4" t="s">
        <v>121</v>
      </c>
      <c r="G108" s="1">
        <v>0</v>
      </c>
      <c r="H108" s="1">
        <v>1</v>
      </c>
      <c r="I108" s="1">
        <v>2</v>
      </c>
      <c r="J108" s="1" t="s">
        <v>197</v>
      </c>
      <c r="K108" s="1">
        <v>20.81</v>
      </c>
      <c r="L108" s="1">
        <v>0</v>
      </c>
      <c r="M108" s="1">
        <v>1</v>
      </c>
      <c r="N108" s="1">
        <v>1</v>
      </c>
      <c r="O108" s="1">
        <v>0</v>
      </c>
      <c r="P108" s="1">
        <v>1</v>
      </c>
      <c r="Q108" s="1">
        <v>1</v>
      </c>
      <c r="R108" s="1">
        <v>1</v>
      </c>
      <c r="S108" s="1">
        <v>0</v>
      </c>
      <c r="T108" s="1">
        <v>0</v>
      </c>
      <c r="U108" s="1">
        <v>0</v>
      </c>
      <c r="V108" s="1">
        <v>1</v>
      </c>
      <c r="W108" s="1">
        <v>1</v>
      </c>
      <c r="X108" s="1">
        <v>0</v>
      </c>
      <c r="Y108" s="1">
        <v>0</v>
      </c>
      <c r="Z108" s="1">
        <v>2</v>
      </c>
      <c r="AA108" s="1">
        <v>1.84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2</v>
      </c>
      <c r="BE108" s="1">
        <v>0</v>
      </c>
      <c r="BF108" s="1">
        <v>0</v>
      </c>
      <c r="BG108" s="1">
        <v>49</v>
      </c>
      <c r="BH108">
        <f>28824.25+29453</f>
        <v>58277.25</v>
      </c>
      <c r="BI108" s="1">
        <v>0</v>
      </c>
      <c r="BJ108" s="1">
        <v>0</v>
      </c>
    </row>
    <row r="109" spans="1:62" x14ac:dyDescent="0.3">
      <c r="A109" s="1">
        <v>1</v>
      </c>
      <c r="B109" s="1">
        <v>108</v>
      </c>
      <c r="C109" s="1" t="s">
        <v>54</v>
      </c>
      <c r="D109">
        <v>0</v>
      </c>
      <c r="E109" s="6">
        <v>42599</v>
      </c>
      <c r="F109" s="1" t="s">
        <v>64</v>
      </c>
      <c r="G109" s="1">
        <v>1</v>
      </c>
      <c r="H109" s="1">
        <v>1</v>
      </c>
      <c r="I109" s="1">
        <v>3</v>
      </c>
      <c r="J109" s="1" t="s">
        <v>192</v>
      </c>
      <c r="K109" s="1">
        <v>17.78</v>
      </c>
      <c r="L109" s="1">
        <v>0</v>
      </c>
      <c r="M109" s="1">
        <v>1</v>
      </c>
      <c r="N109" s="1">
        <v>1</v>
      </c>
      <c r="O109" s="1">
        <v>1</v>
      </c>
      <c r="P109" s="1">
        <v>0</v>
      </c>
      <c r="Q109" s="1">
        <v>1</v>
      </c>
      <c r="R109" s="1">
        <v>1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</v>
      </c>
      <c r="AA109">
        <v>0.73755000000000015</v>
      </c>
      <c r="AB109" s="1">
        <v>9.83</v>
      </c>
      <c r="AC109" s="1">
        <v>21</v>
      </c>
      <c r="AD109">
        <f>AB109*100/AC109</f>
        <v>46.80952380952381</v>
      </c>
      <c r="AR109" s="1">
        <v>1</v>
      </c>
      <c r="AS109" s="1">
        <v>1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3</v>
      </c>
      <c r="BE109" s="1">
        <v>0</v>
      </c>
      <c r="BF109" s="1">
        <v>0</v>
      </c>
      <c r="BG109" s="1">
        <v>31</v>
      </c>
      <c r="BH109" s="1">
        <v>88381.63</v>
      </c>
      <c r="BI109" s="1">
        <v>0</v>
      </c>
      <c r="BJ109" s="1">
        <v>1</v>
      </c>
    </row>
    <row r="110" spans="1:62" x14ac:dyDescent="0.3">
      <c r="A110" s="1">
        <v>1</v>
      </c>
      <c r="B110" s="1">
        <v>109</v>
      </c>
      <c r="C110" s="1" t="s">
        <v>84</v>
      </c>
      <c r="D110">
        <v>1</v>
      </c>
      <c r="E110" s="6">
        <v>42809</v>
      </c>
      <c r="F110" s="1" t="s">
        <v>52</v>
      </c>
      <c r="G110" s="1">
        <v>0</v>
      </c>
      <c r="H110" s="1">
        <v>1</v>
      </c>
      <c r="I110" s="1">
        <v>2</v>
      </c>
      <c r="J110" s="1" t="s">
        <v>191</v>
      </c>
      <c r="K110" s="1">
        <v>20.76</v>
      </c>
      <c r="L110" s="1">
        <v>2</v>
      </c>
      <c r="M110" s="1">
        <v>1</v>
      </c>
      <c r="N110" s="1">
        <v>1</v>
      </c>
      <c r="O110" s="1">
        <v>0</v>
      </c>
      <c r="P110" s="1">
        <v>0</v>
      </c>
      <c r="Q110" s="1">
        <v>1</v>
      </c>
      <c r="R110" s="1">
        <v>0</v>
      </c>
      <c r="S110" s="1">
        <v>0</v>
      </c>
      <c r="T110" s="1">
        <v>1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</v>
      </c>
      <c r="AA110">
        <v>0.83804000000000001</v>
      </c>
      <c r="AB110" s="1">
        <v>13.1</v>
      </c>
      <c r="AC110" s="1">
        <v>33</v>
      </c>
      <c r="AD110">
        <f>AB110*100/AC110</f>
        <v>39.696969696969695</v>
      </c>
      <c r="AE110" s="1">
        <v>5</v>
      </c>
      <c r="AF110" s="1">
        <v>454</v>
      </c>
      <c r="AG110" s="1">
        <v>2</v>
      </c>
      <c r="AH110" s="1">
        <v>12.9</v>
      </c>
      <c r="AI110" s="1">
        <v>5</v>
      </c>
      <c r="AJ110" s="1">
        <v>5.84</v>
      </c>
      <c r="AK110" s="1">
        <v>64.8</v>
      </c>
      <c r="AL110" s="1">
        <v>29.6</v>
      </c>
      <c r="AM110" s="1">
        <v>34.700000000000003</v>
      </c>
      <c r="AN110" s="1">
        <v>544</v>
      </c>
      <c r="AO110" s="1">
        <v>249</v>
      </c>
      <c r="AP110" s="1">
        <v>291</v>
      </c>
      <c r="AQ110">
        <f>AL110/AM110</f>
        <v>0.85302593659942361</v>
      </c>
      <c r="AR110" s="1">
        <v>1</v>
      </c>
      <c r="AS110" s="1">
        <v>0</v>
      </c>
      <c r="AT110" s="1">
        <v>0</v>
      </c>
      <c r="AU110" s="1">
        <v>1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1</v>
      </c>
      <c r="BC110" s="1">
        <v>0</v>
      </c>
      <c r="BD110" s="1">
        <v>1</v>
      </c>
      <c r="BE110" s="1">
        <v>0</v>
      </c>
      <c r="BF110" s="1">
        <v>1</v>
      </c>
      <c r="BG110" s="1">
        <v>51</v>
      </c>
      <c r="BH110" s="1">
        <v>9629.3799999999992</v>
      </c>
      <c r="BI110" s="1">
        <v>0</v>
      </c>
      <c r="BJ110" s="1">
        <v>1</v>
      </c>
    </row>
    <row r="111" spans="1:62" x14ac:dyDescent="0.3">
      <c r="A111" s="1">
        <v>1</v>
      </c>
      <c r="B111">
        <v>110</v>
      </c>
      <c r="C111" s="1" t="s">
        <v>57</v>
      </c>
      <c r="D111">
        <v>0</v>
      </c>
      <c r="E111" s="6">
        <v>43192</v>
      </c>
      <c r="F111" s="1" t="s">
        <v>53</v>
      </c>
      <c r="G111" s="1">
        <v>0</v>
      </c>
      <c r="H111" s="1">
        <v>0</v>
      </c>
      <c r="I111" s="1">
        <v>2</v>
      </c>
      <c r="J111" s="1" t="s">
        <v>195</v>
      </c>
      <c r="K111" s="1">
        <v>28.07</v>
      </c>
      <c r="L111" s="1">
        <v>0</v>
      </c>
      <c r="M111" s="1">
        <v>1</v>
      </c>
      <c r="N111" s="1">
        <v>1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</v>
      </c>
      <c r="AA111">
        <v>2.1244000000000001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1</v>
      </c>
      <c r="BE111" s="1">
        <v>0</v>
      </c>
      <c r="BF111" s="1">
        <v>0</v>
      </c>
      <c r="BG111" s="1">
        <v>8</v>
      </c>
      <c r="BH111" s="1">
        <v>10784.05</v>
      </c>
      <c r="BI111" s="1">
        <v>0</v>
      </c>
      <c r="BJ111" s="1">
        <v>0</v>
      </c>
    </row>
    <row r="112" spans="1:62" x14ac:dyDescent="0.3">
      <c r="A112">
        <v>1</v>
      </c>
      <c r="B112" s="1">
        <v>111</v>
      </c>
      <c r="C112" s="1" t="s">
        <v>60</v>
      </c>
      <c r="D112">
        <v>0</v>
      </c>
      <c r="E112" s="2">
        <v>43479</v>
      </c>
      <c r="F112" t="s">
        <v>124</v>
      </c>
      <c r="G112" s="1">
        <v>0</v>
      </c>
      <c r="H112" s="1">
        <v>0</v>
      </c>
      <c r="I112" s="1">
        <v>3</v>
      </c>
      <c r="J112" s="1" t="s">
        <v>190</v>
      </c>
      <c r="K112" s="1">
        <v>22.48</v>
      </c>
      <c r="L112" s="1">
        <v>0</v>
      </c>
      <c r="M112" s="1">
        <v>1</v>
      </c>
      <c r="N112" s="1">
        <v>1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</v>
      </c>
      <c r="AA112" s="1">
        <v>0.39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 s="1">
        <v>0</v>
      </c>
      <c r="BF112" s="1">
        <v>0</v>
      </c>
      <c r="BG112" s="1">
        <v>10</v>
      </c>
      <c r="BH112">
        <f>3604.2+25.72+89.39+4903+260+536+580+420+500</f>
        <v>10918.31</v>
      </c>
      <c r="BI112" s="1">
        <v>1</v>
      </c>
      <c r="BJ112" s="1">
        <v>0</v>
      </c>
    </row>
    <row r="113" spans="1:62" x14ac:dyDescent="0.3">
      <c r="A113" s="1">
        <v>1</v>
      </c>
      <c r="B113">
        <v>112</v>
      </c>
      <c r="C113" s="1" t="s">
        <v>60</v>
      </c>
      <c r="D113">
        <v>0</v>
      </c>
      <c r="E113" s="6">
        <v>42773</v>
      </c>
      <c r="F113" s="1" t="s">
        <v>64</v>
      </c>
      <c r="G113" s="1">
        <v>0</v>
      </c>
      <c r="H113" s="1">
        <v>0</v>
      </c>
      <c r="I113" s="1">
        <v>2</v>
      </c>
      <c r="J113" s="1" t="s">
        <v>189</v>
      </c>
      <c r="K113" s="1">
        <v>22.03</v>
      </c>
      <c r="L113" s="1">
        <v>0</v>
      </c>
      <c r="M113" s="1">
        <v>1</v>
      </c>
      <c r="N113" s="1">
        <v>0</v>
      </c>
      <c r="O113" s="1">
        <v>1</v>
      </c>
      <c r="P113" s="1">
        <v>1</v>
      </c>
      <c r="Q113" s="1">
        <v>1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1</v>
      </c>
      <c r="X113" s="1">
        <v>0</v>
      </c>
      <c r="Y113" s="1">
        <v>0</v>
      </c>
      <c r="Z113" s="1">
        <v>1</v>
      </c>
      <c r="AA113">
        <v>1.12706</v>
      </c>
      <c r="AB113" s="1">
        <v>13.29</v>
      </c>
      <c r="AC113" s="1">
        <v>21</v>
      </c>
      <c r="AD113">
        <f>AB113*100/AC113</f>
        <v>63.285714285714285</v>
      </c>
      <c r="AE113" s="1">
        <v>5</v>
      </c>
      <c r="AF113" s="1">
        <v>674</v>
      </c>
      <c r="AG113" s="1">
        <v>55.3</v>
      </c>
      <c r="AH113" s="1">
        <v>15.4</v>
      </c>
      <c r="AI113" s="1">
        <v>6.37</v>
      </c>
      <c r="AJ113" s="1"/>
      <c r="AK113" s="1">
        <v>76.7</v>
      </c>
      <c r="AL113" s="1">
        <v>24.8</v>
      </c>
      <c r="AM113" s="1">
        <v>49.6</v>
      </c>
      <c r="AQ113">
        <f>AL113/AM113</f>
        <v>0.5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3</v>
      </c>
      <c r="BH113" s="1">
        <v>6760.03</v>
      </c>
      <c r="BI113" s="1">
        <v>0</v>
      </c>
      <c r="BJ113" s="1">
        <v>0</v>
      </c>
    </row>
    <row r="114" spans="1:62" x14ac:dyDescent="0.3">
      <c r="A114">
        <v>1</v>
      </c>
      <c r="B114" s="1">
        <v>113</v>
      </c>
      <c r="C114" s="1" t="s">
        <v>60</v>
      </c>
      <c r="D114">
        <v>0</v>
      </c>
      <c r="E114" s="2">
        <v>43507</v>
      </c>
      <c r="F114" t="s">
        <v>121</v>
      </c>
      <c r="G114" s="1">
        <v>0</v>
      </c>
      <c r="H114" s="1">
        <v>0</v>
      </c>
      <c r="I114" s="1">
        <v>2</v>
      </c>
      <c r="J114" s="1" t="s">
        <v>191</v>
      </c>
      <c r="K114" s="1">
        <v>24.3</v>
      </c>
      <c r="L114" s="1">
        <v>0</v>
      </c>
      <c r="M114" s="1">
        <v>1</v>
      </c>
      <c r="N114" s="1">
        <v>1</v>
      </c>
      <c r="O114" s="1">
        <v>0</v>
      </c>
      <c r="P114" s="1">
        <v>1</v>
      </c>
      <c r="Q114" s="1">
        <v>1</v>
      </c>
      <c r="R114" s="1">
        <v>1</v>
      </c>
      <c r="S114" s="1">
        <v>0</v>
      </c>
      <c r="T114" s="1">
        <v>0</v>
      </c>
      <c r="U114" s="1">
        <v>0</v>
      </c>
      <c r="V114" s="1">
        <v>0</v>
      </c>
      <c r="W114" s="1">
        <v>1</v>
      </c>
      <c r="X114" s="1">
        <v>0</v>
      </c>
      <c r="Y114" s="1">
        <v>0</v>
      </c>
      <c r="Z114" s="1">
        <v>1</v>
      </c>
      <c r="AA114" s="1">
        <v>0.79</v>
      </c>
      <c r="AK114">
        <v>50.5</v>
      </c>
      <c r="AL114">
        <v>35.200000000000003</v>
      </c>
      <c r="AM114">
        <v>14.4</v>
      </c>
      <c r="AQ114">
        <f>AL114/AM114</f>
        <v>2.4444444444444446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 s="1">
        <v>0</v>
      </c>
      <c r="BF114" s="1">
        <v>0</v>
      </c>
      <c r="BG114" s="1">
        <v>20</v>
      </c>
      <c r="BH114">
        <f>4214.79+756.3+7946+3162+115+91+1950+819+975+31.5</f>
        <v>20060.59</v>
      </c>
      <c r="BI114" s="1">
        <v>1</v>
      </c>
      <c r="BJ114" s="1">
        <v>0</v>
      </c>
    </row>
    <row r="115" spans="1:62" x14ac:dyDescent="0.3">
      <c r="A115" s="1">
        <v>1</v>
      </c>
      <c r="B115" s="1">
        <v>114</v>
      </c>
      <c r="C115" s="1" t="s">
        <v>92</v>
      </c>
      <c r="D115">
        <v>0</v>
      </c>
      <c r="E115" s="6">
        <v>43127</v>
      </c>
      <c r="F115" s="1" t="s">
        <v>85</v>
      </c>
      <c r="G115" s="1">
        <v>0</v>
      </c>
      <c r="H115" s="1">
        <v>0</v>
      </c>
      <c r="I115" s="1">
        <v>3</v>
      </c>
      <c r="J115" s="1" t="s">
        <v>186</v>
      </c>
      <c r="K115" s="1">
        <v>23.4</v>
      </c>
      <c r="L115" s="1">
        <v>0</v>
      </c>
      <c r="M115" s="1">
        <v>0</v>
      </c>
      <c r="N115" s="1">
        <v>1</v>
      </c>
      <c r="O115" s="1">
        <v>0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</v>
      </c>
      <c r="Y115" s="1">
        <v>0</v>
      </c>
      <c r="Z115" s="1">
        <v>1</v>
      </c>
      <c r="AA115">
        <v>0.7589999999999999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8</v>
      </c>
      <c r="BH115" s="1">
        <v>13260.94</v>
      </c>
      <c r="BI115" s="1">
        <v>0</v>
      </c>
      <c r="BJ115" s="1">
        <v>0</v>
      </c>
    </row>
    <row r="116" spans="1:62" x14ac:dyDescent="0.3">
      <c r="A116" s="1">
        <v>1</v>
      </c>
      <c r="B116">
        <v>115</v>
      </c>
      <c r="C116" s="1" t="s">
        <v>54</v>
      </c>
      <c r="D116">
        <v>0</v>
      </c>
      <c r="E116" s="2" t="s">
        <v>119</v>
      </c>
      <c r="F116" s="1" t="s">
        <v>85</v>
      </c>
      <c r="G116" s="1">
        <v>0</v>
      </c>
      <c r="H116" s="1">
        <v>0</v>
      </c>
      <c r="I116" s="1">
        <v>3</v>
      </c>
      <c r="J116" s="1" t="s">
        <v>187</v>
      </c>
      <c r="K116" s="1">
        <v>25.95</v>
      </c>
      <c r="L116" s="1">
        <v>0</v>
      </c>
      <c r="M116" s="1">
        <v>0</v>
      </c>
      <c r="N116" s="1">
        <v>1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</v>
      </c>
      <c r="Y116" s="1">
        <v>0</v>
      </c>
      <c r="Z116" s="1">
        <v>1</v>
      </c>
      <c r="AA116">
        <v>1.3478000000000001</v>
      </c>
      <c r="AN116" s="1">
        <v>967</v>
      </c>
      <c r="AO116" s="1">
        <v>756</v>
      </c>
      <c r="AP116" s="1">
        <v>174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1</v>
      </c>
      <c r="BE116" s="1">
        <v>0</v>
      </c>
      <c r="BF116" s="1">
        <v>0</v>
      </c>
      <c r="BG116" s="1">
        <v>16</v>
      </c>
      <c r="BH116" s="1">
        <v>15388.04</v>
      </c>
      <c r="BI116" s="1">
        <v>0</v>
      </c>
      <c r="BJ116" s="1">
        <v>0</v>
      </c>
    </row>
    <row r="117" spans="1:62" x14ac:dyDescent="0.3">
      <c r="A117">
        <v>1</v>
      </c>
      <c r="B117" s="1">
        <v>116</v>
      </c>
      <c r="C117" t="s">
        <v>69</v>
      </c>
      <c r="D117">
        <v>0</v>
      </c>
      <c r="E117" s="2">
        <v>43518</v>
      </c>
      <c r="F117" t="s">
        <v>56</v>
      </c>
      <c r="G117" s="1">
        <v>0</v>
      </c>
      <c r="H117" s="1">
        <v>0</v>
      </c>
      <c r="I117" s="1">
        <v>2</v>
      </c>
      <c r="J117" s="1" t="s">
        <v>190</v>
      </c>
      <c r="K117" s="1">
        <v>20.03</v>
      </c>
      <c r="L117" s="1">
        <v>0</v>
      </c>
      <c r="M117" s="1">
        <v>1</v>
      </c>
      <c r="N117" s="1">
        <v>1</v>
      </c>
      <c r="O117" s="1">
        <v>0</v>
      </c>
      <c r="P117" s="1">
        <v>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</v>
      </c>
      <c r="AA117" s="1">
        <v>1.25</v>
      </c>
      <c r="AK117">
        <v>72.3</v>
      </c>
      <c r="AL117">
        <v>47.7</v>
      </c>
      <c r="AM117">
        <v>22.9</v>
      </c>
      <c r="AN117">
        <v>535</v>
      </c>
      <c r="AO117">
        <v>353</v>
      </c>
      <c r="AP117">
        <v>169</v>
      </c>
      <c r="AQ117">
        <f>AL117/AM117</f>
        <v>2.0829694323144108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 s="1">
        <v>0</v>
      </c>
      <c r="BF117" s="1">
        <v>0</v>
      </c>
      <c r="BG117" s="1">
        <v>8</v>
      </c>
      <c r="BH117">
        <f>2653.01+25.72+6318+857+69+464+336+400+31.5</f>
        <v>11154.23</v>
      </c>
      <c r="BI117" s="1">
        <v>0</v>
      </c>
      <c r="BJ117" s="1">
        <v>0</v>
      </c>
    </row>
    <row r="118" spans="1:62" x14ac:dyDescent="0.3">
      <c r="A118" s="1">
        <v>1</v>
      </c>
      <c r="B118">
        <v>117</v>
      </c>
      <c r="C118" s="1" t="s">
        <v>60</v>
      </c>
      <c r="D118">
        <v>0</v>
      </c>
      <c r="E118" s="6">
        <v>42396</v>
      </c>
      <c r="F118" s="1" t="s">
        <v>53</v>
      </c>
      <c r="G118" s="1">
        <v>0</v>
      </c>
      <c r="H118" s="1">
        <v>0</v>
      </c>
      <c r="I118" s="1">
        <v>2</v>
      </c>
      <c r="J118" s="1" t="s">
        <v>193</v>
      </c>
      <c r="K118" s="1">
        <v>22.59</v>
      </c>
      <c r="L118" s="1">
        <v>2</v>
      </c>
      <c r="M118" s="1">
        <v>1</v>
      </c>
      <c r="N118" s="1">
        <v>1</v>
      </c>
      <c r="O118" s="1">
        <v>0</v>
      </c>
      <c r="P118" s="1">
        <v>1</v>
      </c>
      <c r="Q118" s="1">
        <v>1</v>
      </c>
      <c r="R118" s="1">
        <v>1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1">
        <v>0</v>
      </c>
      <c r="Z118" s="1">
        <v>1</v>
      </c>
      <c r="AA118">
        <v>1.3833000000000002</v>
      </c>
      <c r="AB118" s="1">
        <v>9.34</v>
      </c>
      <c r="AC118" s="1">
        <v>21</v>
      </c>
      <c r="AD118">
        <f>AB118*100/AC118</f>
        <v>44.476190476190474</v>
      </c>
      <c r="AK118" s="1">
        <v>57</v>
      </c>
      <c r="AL118" s="1">
        <v>36</v>
      </c>
      <c r="AM118" s="1">
        <v>20.2</v>
      </c>
      <c r="AQ118">
        <f>AL118/AM118</f>
        <v>1.7821782178217822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>
        <v>0</v>
      </c>
      <c r="BB118">
        <v>0</v>
      </c>
      <c r="BC118">
        <v>0</v>
      </c>
      <c r="BD118" s="1">
        <v>1</v>
      </c>
      <c r="BE118" s="1">
        <v>0</v>
      </c>
      <c r="BF118" s="1">
        <v>0</v>
      </c>
      <c r="BG118" s="1">
        <v>9</v>
      </c>
      <c r="BH118" s="1">
        <v>10354.040000000001</v>
      </c>
      <c r="BI118" s="1">
        <v>1</v>
      </c>
      <c r="BJ118" s="1">
        <v>0</v>
      </c>
    </row>
    <row r="119" spans="1:62" x14ac:dyDescent="0.3">
      <c r="A119" s="1">
        <v>1</v>
      </c>
      <c r="B119" s="1">
        <v>118</v>
      </c>
      <c r="C119" s="1" t="s">
        <v>96</v>
      </c>
      <c r="D119">
        <v>0</v>
      </c>
      <c r="E119" s="6">
        <v>43109</v>
      </c>
      <c r="F119" s="1" t="s">
        <v>88</v>
      </c>
      <c r="G119" s="1">
        <v>0</v>
      </c>
      <c r="H119" s="1">
        <v>0</v>
      </c>
      <c r="I119" s="1">
        <v>2</v>
      </c>
      <c r="J119" s="1" t="s">
        <v>196</v>
      </c>
      <c r="K119" s="1">
        <v>26.53</v>
      </c>
      <c r="L119" s="1">
        <v>0</v>
      </c>
      <c r="M119" s="1">
        <v>1</v>
      </c>
      <c r="N119" s="1">
        <v>1</v>
      </c>
      <c r="O119" s="1">
        <v>0</v>
      </c>
      <c r="P119" s="1">
        <v>1</v>
      </c>
      <c r="Q119" s="1">
        <v>1</v>
      </c>
      <c r="R119" s="1">
        <v>0</v>
      </c>
      <c r="S119" s="1">
        <v>0</v>
      </c>
      <c r="T119" s="1">
        <v>1</v>
      </c>
      <c r="U119" s="1">
        <v>0</v>
      </c>
      <c r="V119" s="1">
        <v>0</v>
      </c>
      <c r="W119" s="1">
        <v>0</v>
      </c>
      <c r="X119" s="1">
        <v>0</v>
      </c>
      <c r="Y119" s="1">
        <v>1</v>
      </c>
      <c r="Z119" s="1">
        <v>2</v>
      </c>
      <c r="AA119">
        <v>1.3480099999999999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1</v>
      </c>
      <c r="BE119" s="1">
        <v>0</v>
      </c>
      <c r="BF119" s="1">
        <v>0</v>
      </c>
      <c r="BG119" s="1">
        <v>23</v>
      </c>
      <c r="BH119" s="1">
        <v>36034.58</v>
      </c>
      <c r="BI119" s="1">
        <v>0</v>
      </c>
      <c r="BJ119" s="1">
        <v>0</v>
      </c>
    </row>
    <row r="120" spans="1:62" x14ac:dyDescent="0.3">
      <c r="A120" s="1">
        <v>1</v>
      </c>
      <c r="B120" s="1">
        <v>119</v>
      </c>
      <c r="C120" s="1" t="s">
        <v>116</v>
      </c>
      <c r="D120">
        <v>0</v>
      </c>
      <c r="E120" s="6">
        <v>43273</v>
      </c>
      <c r="F120" s="1" t="s">
        <v>85</v>
      </c>
      <c r="G120" s="1">
        <v>0</v>
      </c>
      <c r="H120" s="1">
        <v>0</v>
      </c>
      <c r="I120" s="1">
        <v>1</v>
      </c>
      <c r="J120" s="1" t="s">
        <v>193</v>
      </c>
      <c r="K120" s="1">
        <v>24.97</v>
      </c>
      <c r="L120" s="1">
        <v>1</v>
      </c>
      <c r="M120" s="1">
        <v>0</v>
      </c>
      <c r="N120" s="1">
        <v>1</v>
      </c>
      <c r="O120" s="1">
        <v>0</v>
      </c>
      <c r="P120" s="1">
        <v>0</v>
      </c>
      <c r="Q120" s="1">
        <v>1</v>
      </c>
      <c r="R120" s="1">
        <v>0</v>
      </c>
      <c r="S120" s="1">
        <v>0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</v>
      </c>
      <c r="AA120">
        <v>1.6260000000000003</v>
      </c>
      <c r="AK120" s="1">
        <v>83.2</v>
      </c>
      <c r="AL120" s="1">
        <v>41.3</v>
      </c>
      <c r="AM120" s="1">
        <v>39.6</v>
      </c>
      <c r="AN120" s="1">
        <v>1331</v>
      </c>
      <c r="AO120" s="1">
        <v>661</v>
      </c>
      <c r="AP120" s="1">
        <v>634</v>
      </c>
      <c r="AQ120">
        <f>AL120/AM120</f>
        <v>1.0429292929292928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1</v>
      </c>
      <c r="BE120" s="1">
        <v>0</v>
      </c>
      <c r="BF120" s="1">
        <v>0</v>
      </c>
      <c r="BG120" s="1">
        <v>12</v>
      </c>
      <c r="BH120" s="1">
        <v>17835.330000000002</v>
      </c>
      <c r="BI120" s="1">
        <v>0</v>
      </c>
      <c r="BJ120" s="1">
        <v>0</v>
      </c>
    </row>
    <row r="121" spans="1:62" x14ac:dyDescent="0.3">
      <c r="A121">
        <v>1</v>
      </c>
      <c r="B121">
        <v>120</v>
      </c>
      <c r="C121" t="s">
        <v>57</v>
      </c>
      <c r="D121">
        <v>0</v>
      </c>
      <c r="E121" s="2">
        <v>43515</v>
      </c>
      <c r="F121" t="s">
        <v>53</v>
      </c>
      <c r="G121" s="1">
        <v>0</v>
      </c>
      <c r="H121" s="1">
        <v>0</v>
      </c>
      <c r="I121" s="1">
        <v>2</v>
      </c>
      <c r="J121" s="1" t="s">
        <v>193</v>
      </c>
      <c r="K121" s="1">
        <v>28.04</v>
      </c>
      <c r="L121" s="1">
        <v>0</v>
      </c>
      <c r="M121" s="1">
        <v>1</v>
      </c>
      <c r="N121" s="1">
        <v>0</v>
      </c>
      <c r="O121" s="1">
        <v>1</v>
      </c>
      <c r="P121" s="1">
        <v>1</v>
      </c>
      <c r="Q121" s="1">
        <v>1</v>
      </c>
      <c r="R121" s="1">
        <v>1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</v>
      </c>
      <c r="AA121" s="1">
        <v>1.49</v>
      </c>
      <c r="AB121" s="1">
        <v>10.61</v>
      </c>
      <c r="AC121" s="1">
        <v>33</v>
      </c>
      <c r="AD121">
        <f>AB121*100/AC121</f>
        <v>32.151515151515149</v>
      </c>
      <c r="AK121">
        <v>63.4</v>
      </c>
      <c r="AL121">
        <v>44.2</v>
      </c>
      <c r="AM121">
        <v>20</v>
      </c>
      <c r="AQ121">
        <f>AL121/AM121</f>
        <v>2.21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1</v>
      </c>
      <c r="BE121" s="1">
        <v>0</v>
      </c>
      <c r="BF121" s="1">
        <v>0</v>
      </c>
      <c r="BG121" s="1">
        <v>8</v>
      </c>
      <c r="BH121">
        <f>2530.76+5802+640+176+218+464+406+400+54.08</f>
        <v>10690.84</v>
      </c>
      <c r="BI121" s="1">
        <v>1</v>
      </c>
      <c r="BJ121" s="1">
        <v>0</v>
      </c>
    </row>
    <row r="122" spans="1:62" x14ac:dyDescent="0.3">
      <c r="A122">
        <v>1</v>
      </c>
      <c r="B122" s="1">
        <v>121</v>
      </c>
      <c r="C122" t="s">
        <v>57</v>
      </c>
      <c r="D122">
        <v>0</v>
      </c>
      <c r="E122" s="2">
        <v>43514</v>
      </c>
      <c r="F122" t="s">
        <v>53</v>
      </c>
      <c r="G122" s="1">
        <v>0</v>
      </c>
      <c r="H122" s="1">
        <v>1</v>
      </c>
      <c r="I122" s="1">
        <v>2</v>
      </c>
      <c r="J122" s="1" t="s">
        <v>193</v>
      </c>
      <c r="K122" s="1">
        <v>28.04</v>
      </c>
      <c r="L122" s="1">
        <v>0</v>
      </c>
      <c r="M122" s="1">
        <v>1</v>
      </c>
      <c r="N122" s="1">
        <v>0</v>
      </c>
      <c r="O122" s="1">
        <v>1</v>
      </c>
      <c r="P122" s="1">
        <v>1</v>
      </c>
      <c r="Q122" s="1">
        <v>1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</v>
      </c>
      <c r="AA122" s="1">
        <v>1.49</v>
      </c>
      <c r="AB122" s="1">
        <v>10.61</v>
      </c>
      <c r="AC122" s="1">
        <v>33</v>
      </c>
      <c r="AD122">
        <f>AB122*100/AC122</f>
        <v>32.151515151515149</v>
      </c>
      <c r="AK122">
        <v>63.4</v>
      </c>
      <c r="AL122">
        <v>44.2</v>
      </c>
      <c r="AM122">
        <v>20</v>
      </c>
      <c r="AQ122">
        <f>AL122/AM122</f>
        <v>2.21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 s="1">
        <v>0</v>
      </c>
      <c r="BF122" s="1">
        <v>0</v>
      </c>
      <c r="BG122" s="1">
        <v>8</v>
      </c>
      <c r="BH122">
        <f>2530.76+5802+640+176+218+464+406+400+54.08</f>
        <v>10690.84</v>
      </c>
      <c r="BI122" s="1">
        <v>1</v>
      </c>
      <c r="BJ122" s="1">
        <v>0</v>
      </c>
    </row>
    <row r="123" spans="1:62" x14ac:dyDescent="0.3">
      <c r="A123" s="1">
        <v>1</v>
      </c>
      <c r="B123">
        <v>122</v>
      </c>
      <c r="C123" s="1" t="s">
        <v>71</v>
      </c>
      <c r="D123">
        <v>0</v>
      </c>
      <c r="E123" s="6">
        <v>43090</v>
      </c>
      <c r="F123" s="1" t="s">
        <v>88</v>
      </c>
      <c r="G123" s="1">
        <v>0</v>
      </c>
      <c r="H123" s="1">
        <v>0</v>
      </c>
      <c r="I123" s="1">
        <v>2</v>
      </c>
      <c r="J123" s="1" t="s">
        <v>192</v>
      </c>
      <c r="K123" s="1">
        <v>23.15</v>
      </c>
      <c r="L123" s="1">
        <v>0</v>
      </c>
      <c r="M123" s="1">
        <v>1</v>
      </c>
      <c r="N123" s="1">
        <v>0</v>
      </c>
      <c r="O123" s="1">
        <v>0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1">
        <v>0</v>
      </c>
      <c r="Z123" s="1">
        <v>2</v>
      </c>
      <c r="AA123">
        <v>1.2302599999999999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1</v>
      </c>
      <c r="BE123" s="1">
        <v>0</v>
      </c>
      <c r="BF123" s="1">
        <v>0</v>
      </c>
      <c r="BG123" s="1">
        <v>15</v>
      </c>
      <c r="BH123" s="1">
        <v>11491.14</v>
      </c>
      <c r="BI123" s="1">
        <v>0</v>
      </c>
      <c r="BJ123" s="1">
        <v>0</v>
      </c>
    </row>
    <row r="124" spans="1:62" x14ac:dyDescent="0.3">
      <c r="A124">
        <v>1</v>
      </c>
      <c r="B124" s="1">
        <v>123</v>
      </c>
      <c r="C124" s="1" t="s">
        <v>60</v>
      </c>
      <c r="D124">
        <v>0</v>
      </c>
      <c r="E124" s="2">
        <v>43497</v>
      </c>
      <c r="F124" t="s">
        <v>56</v>
      </c>
      <c r="G124" s="1">
        <v>0</v>
      </c>
      <c r="H124" s="1">
        <v>0</v>
      </c>
      <c r="I124" s="1">
        <v>2</v>
      </c>
      <c r="J124" s="1" t="s">
        <v>195</v>
      </c>
      <c r="K124" s="1">
        <v>19.64</v>
      </c>
      <c r="L124" s="1">
        <v>0</v>
      </c>
      <c r="M124" s="1">
        <v>1</v>
      </c>
      <c r="N124" s="1">
        <v>1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1">
        <v>0</v>
      </c>
      <c r="Z124" s="1">
        <v>1</v>
      </c>
      <c r="AA124" s="1">
        <v>1.21</v>
      </c>
      <c r="AB124" s="1">
        <v>10.02</v>
      </c>
      <c r="AC124" s="1">
        <v>21</v>
      </c>
      <c r="AD124">
        <f>AB124*100/AC124</f>
        <v>47.714285714285715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2</v>
      </c>
      <c r="BE124" s="1">
        <v>0</v>
      </c>
      <c r="BF124" s="1">
        <v>0</v>
      </c>
      <c r="BG124" s="1">
        <v>12</v>
      </c>
      <c r="BH124">
        <f>3523.34+77.95+3974+1463+174+528+696+504+600+101.33</f>
        <v>11641.62</v>
      </c>
      <c r="BI124" s="1">
        <v>1</v>
      </c>
      <c r="BJ124" s="1">
        <v>0</v>
      </c>
    </row>
    <row r="125" spans="1:62" x14ac:dyDescent="0.3">
      <c r="A125" s="1">
        <v>2</v>
      </c>
      <c r="B125" s="1">
        <v>124</v>
      </c>
      <c r="C125" s="1" t="s">
        <v>54</v>
      </c>
      <c r="D125">
        <v>0</v>
      </c>
      <c r="E125" s="6">
        <v>42731</v>
      </c>
      <c r="F125" s="1" t="s">
        <v>67</v>
      </c>
      <c r="G125" s="1">
        <v>0</v>
      </c>
      <c r="H125" s="1">
        <v>1</v>
      </c>
      <c r="I125" s="1">
        <v>3</v>
      </c>
      <c r="J125" s="1" t="s">
        <v>185</v>
      </c>
      <c r="K125" s="1">
        <v>29.75</v>
      </c>
      <c r="L125" s="1">
        <v>1</v>
      </c>
      <c r="M125" s="1">
        <v>1</v>
      </c>
      <c r="N125" s="1">
        <v>0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</v>
      </c>
      <c r="AA125" s="1">
        <v>1.17</v>
      </c>
      <c r="AK125" s="1">
        <v>80.900000000000006</v>
      </c>
      <c r="AL125" s="1">
        <v>41.2</v>
      </c>
      <c r="AM125" s="1">
        <v>32.700000000000003</v>
      </c>
      <c r="AN125" s="1">
        <v>947</v>
      </c>
      <c r="AO125" s="1">
        <v>482</v>
      </c>
      <c r="AP125" s="1">
        <v>383</v>
      </c>
      <c r="AQ125">
        <f>AL125/AM125</f>
        <v>1.2599388379204892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7</v>
      </c>
      <c r="BH125" s="1">
        <v>11682.73</v>
      </c>
      <c r="BI125" s="1">
        <v>1</v>
      </c>
      <c r="BJ125" s="1">
        <v>0</v>
      </c>
    </row>
    <row r="126" spans="1:62" x14ac:dyDescent="0.3">
      <c r="A126" s="1">
        <v>1</v>
      </c>
      <c r="B126">
        <v>125</v>
      </c>
      <c r="C126" s="1" t="s">
        <v>54</v>
      </c>
      <c r="D126">
        <v>0</v>
      </c>
      <c r="E126" s="6">
        <v>42381</v>
      </c>
      <c r="F126" s="1" t="s">
        <v>56</v>
      </c>
      <c r="G126" s="1">
        <v>1</v>
      </c>
      <c r="H126" s="1">
        <v>1</v>
      </c>
      <c r="I126" s="1">
        <v>2</v>
      </c>
      <c r="J126" s="1" t="s">
        <v>195</v>
      </c>
      <c r="K126" s="1">
        <v>26.57</v>
      </c>
      <c r="L126" s="1">
        <v>0</v>
      </c>
      <c r="M126" s="1">
        <v>0</v>
      </c>
      <c r="N126" s="1">
        <v>0</v>
      </c>
      <c r="O126" s="1">
        <v>1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2</v>
      </c>
      <c r="AA126">
        <v>3.40219</v>
      </c>
      <c r="AB126" s="1">
        <v>13.49</v>
      </c>
      <c r="AC126" s="1">
        <v>33</v>
      </c>
      <c r="AD126">
        <f>AB126*100/AC126</f>
        <v>40.878787878787875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>
        <v>0</v>
      </c>
      <c r="BB126">
        <v>0</v>
      </c>
      <c r="BC126">
        <v>0</v>
      </c>
      <c r="BD126" s="1">
        <v>3</v>
      </c>
      <c r="BE126" s="1">
        <v>0</v>
      </c>
      <c r="BF126" s="1">
        <v>0</v>
      </c>
      <c r="BG126" s="1">
        <v>4</v>
      </c>
      <c r="BH126" s="1">
        <v>12437.41</v>
      </c>
      <c r="BI126" s="1">
        <v>0</v>
      </c>
      <c r="BJ126" s="1">
        <v>0</v>
      </c>
    </row>
    <row r="127" spans="1:62" x14ac:dyDescent="0.3">
      <c r="A127" s="1">
        <v>1</v>
      </c>
      <c r="B127" s="1">
        <v>126</v>
      </c>
      <c r="C127" s="1" t="s">
        <v>51</v>
      </c>
      <c r="D127">
        <v>0</v>
      </c>
      <c r="E127" s="6">
        <v>42993</v>
      </c>
      <c r="F127" s="1" t="s">
        <v>85</v>
      </c>
      <c r="G127" s="1">
        <v>0</v>
      </c>
      <c r="H127" s="1">
        <v>0</v>
      </c>
      <c r="I127" s="1">
        <v>2</v>
      </c>
      <c r="J127" s="1" t="s">
        <v>193</v>
      </c>
      <c r="K127" s="1">
        <v>25.65</v>
      </c>
      <c r="L127" s="1">
        <v>2</v>
      </c>
      <c r="M127" s="1">
        <v>0</v>
      </c>
      <c r="N127" s="1">
        <v>1</v>
      </c>
      <c r="O127" s="1">
        <v>0</v>
      </c>
      <c r="P127" s="1">
        <v>0</v>
      </c>
      <c r="Q127" s="1">
        <v>1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1</v>
      </c>
      <c r="Y127" s="1">
        <v>0</v>
      </c>
      <c r="Z127" s="1">
        <v>1</v>
      </c>
      <c r="AA127">
        <v>1.1926000000000001</v>
      </c>
      <c r="AK127" s="1">
        <v>54.5</v>
      </c>
      <c r="AL127" s="1">
        <v>35.700000000000003</v>
      </c>
      <c r="AM127" s="1">
        <v>18.3</v>
      </c>
      <c r="AN127" s="1">
        <v>654</v>
      </c>
      <c r="AO127" s="1">
        <v>428</v>
      </c>
      <c r="AP127" s="1">
        <v>220</v>
      </c>
      <c r="AQ127">
        <f>AL127/AM127</f>
        <v>1.9508196721311477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2</v>
      </c>
      <c r="BE127" s="1">
        <v>0</v>
      </c>
      <c r="BF127" s="1">
        <v>0</v>
      </c>
      <c r="BG127" s="1">
        <v>11</v>
      </c>
      <c r="BH127" s="1">
        <v>17664.650000000001</v>
      </c>
      <c r="BI127" s="1">
        <v>0</v>
      </c>
      <c r="BJ127" s="1">
        <v>0</v>
      </c>
    </row>
    <row r="128" spans="1:62" x14ac:dyDescent="0.3">
      <c r="A128" s="1">
        <v>2</v>
      </c>
      <c r="B128">
        <v>127</v>
      </c>
      <c r="C128" s="1" t="s">
        <v>54</v>
      </c>
      <c r="D128">
        <v>0</v>
      </c>
      <c r="E128" s="6">
        <v>43058</v>
      </c>
      <c r="F128" s="1" t="s">
        <v>82</v>
      </c>
      <c r="G128" s="1">
        <v>1</v>
      </c>
      <c r="H128" s="1">
        <v>0</v>
      </c>
      <c r="I128" s="1">
        <v>2</v>
      </c>
      <c r="J128" s="1" t="s">
        <v>191</v>
      </c>
      <c r="K128" s="1">
        <v>26.12</v>
      </c>
      <c r="L128" s="1">
        <v>2</v>
      </c>
      <c r="M128" s="1">
        <v>0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1</v>
      </c>
      <c r="X128" s="1">
        <v>0</v>
      </c>
      <c r="Y128" s="1">
        <v>0</v>
      </c>
      <c r="Z128" s="1">
        <v>1</v>
      </c>
      <c r="AA128">
        <v>1.42984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8</v>
      </c>
      <c r="BH128" s="1">
        <v>11937.48</v>
      </c>
      <c r="BI128" s="1">
        <v>0</v>
      </c>
      <c r="BJ128" s="1">
        <v>0</v>
      </c>
    </row>
    <row r="129" spans="1:62" x14ac:dyDescent="0.3">
      <c r="A129" s="1">
        <v>1</v>
      </c>
      <c r="B129" s="1">
        <v>128</v>
      </c>
      <c r="C129" s="1" t="s">
        <v>60</v>
      </c>
      <c r="D129">
        <v>0</v>
      </c>
      <c r="E129" s="6">
        <v>43148</v>
      </c>
      <c r="F129" s="1" t="s">
        <v>56</v>
      </c>
      <c r="G129" s="1">
        <v>0</v>
      </c>
      <c r="H129" s="1">
        <v>0</v>
      </c>
      <c r="I129" s="1">
        <v>2</v>
      </c>
      <c r="J129" s="1" t="s">
        <v>190</v>
      </c>
      <c r="K129" s="1">
        <v>21.45</v>
      </c>
      <c r="L129" s="1">
        <v>0</v>
      </c>
      <c r="M129" s="1">
        <v>1</v>
      </c>
      <c r="N129" s="1">
        <v>1</v>
      </c>
      <c r="O129" s="1">
        <v>0</v>
      </c>
      <c r="P129" s="1">
        <v>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1</v>
      </c>
      <c r="AA129">
        <v>0.76607999999999987</v>
      </c>
      <c r="AE129" s="1">
        <v>5</v>
      </c>
      <c r="AF129" s="1">
        <v>441</v>
      </c>
      <c r="AG129" s="1">
        <v>2</v>
      </c>
      <c r="AH129" s="1">
        <v>22.9</v>
      </c>
      <c r="AI129" s="1">
        <v>5</v>
      </c>
      <c r="AK129" s="1">
        <v>67.8</v>
      </c>
      <c r="AL129" s="1">
        <v>40.799999999999997</v>
      </c>
      <c r="AM129" s="1">
        <v>18.5</v>
      </c>
      <c r="AQ129">
        <f>AL129/AM129</f>
        <v>2.2054054054054051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10</v>
      </c>
      <c r="BH129" s="1">
        <v>11968</v>
      </c>
      <c r="BI129" s="1">
        <v>1</v>
      </c>
      <c r="BJ129" s="1">
        <v>0</v>
      </c>
    </row>
    <row r="130" spans="1:62" x14ac:dyDescent="0.3">
      <c r="A130">
        <v>1</v>
      </c>
      <c r="B130" s="1">
        <v>129</v>
      </c>
      <c r="C130" s="1" t="s">
        <v>60</v>
      </c>
      <c r="D130">
        <v>0</v>
      </c>
      <c r="E130" s="2">
        <v>43499</v>
      </c>
      <c r="F130" t="s">
        <v>129</v>
      </c>
      <c r="G130" s="1">
        <v>0</v>
      </c>
      <c r="H130" s="1">
        <v>0</v>
      </c>
      <c r="I130" s="1">
        <v>3</v>
      </c>
      <c r="J130" s="1" t="s">
        <v>190</v>
      </c>
      <c r="K130" s="1">
        <v>25.26</v>
      </c>
      <c r="L130" s="1">
        <v>0</v>
      </c>
      <c r="M130" s="1">
        <v>1</v>
      </c>
      <c r="N130" s="1">
        <v>0</v>
      </c>
      <c r="O130" s="1">
        <v>0</v>
      </c>
      <c r="P130" s="1">
        <v>1</v>
      </c>
      <c r="Q130" s="1">
        <v>1</v>
      </c>
      <c r="R130" s="1">
        <v>1</v>
      </c>
      <c r="S130" s="1">
        <v>0</v>
      </c>
      <c r="T130" s="1">
        <v>0</v>
      </c>
      <c r="U130" s="1">
        <v>0</v>
      </c>
      <c r="V130" s="1">
        <v>0</v>
      </c>
      <c r="W130" s="1">
        <v>1</v>
      </c>
      <c r="X130" s="1">
        <v>0</v>
      </c>
      <c r="Y130" s="1">
        <v>0</v>
      </c>
      <c r="Z130" s="1">
        <v>1</v>
      </c>
      <c r="AA130" s="1">
        <v>0.62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 s="1">
        <v>0</v>
      </c>
      <c r="BF130" s="1">
        <v>0</v>
      </c>
      <c r="BG130" s="1">
        <v>5</v>
      </c>
      <c r="BH130">
        <f>1623.55+160.85+3703+430+63+100+42+50+18.69</f>
        <v>6191.0899999999992</v>
      </c>
      <c r="BI130" s="1">
        <v>1</v>
      </c>
      <c r="BJ130" s="1">
        <v>0</v>
      </c>
    </row>
    <row r="131" spans="1:62" x14ac:dyDescent="0.3">
      <c r="A131" s="1">
        <v>2</v>
      </c>
      <c r="B131">
        <v>130</v>
      </c>
      <c r="C131" s="1" t="s">
        <v>60</v>
      </c>
      <c r="D131">
        <v>0</v>
      </c>
      <c r="E131" s="6">
        <v>42748</v>
      </c>
      <c r="F131" s="1" t="s">
        <v>82</v>
      </c>
      <c r="G131" s="1">
        <v>0</v>
      </c>
      <c r="H131" s="1">
        <v>0</v>
      </c>
      <c r="I131" s="1">
        <v>3</v>
      </c>
      <c r="J131" s="1" t="s">
        <v>186</v>
      </c>
      <c r="K131" s="1">
        <v>19.14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1</v>
      </c>
      <c r="X131" s="1">
        <v>0</v>
      </c>
      <c r="Y131" s="1">
        <v>0</v>
      </c>
      <c r="Z131" s="1">
        <v>1</v>
      </c>
      <c r="AA131">
        <v>1.0926499999999999</v>
      </c>
      <c r="AK131" s="1">
        <v>72.400000000000006</v>
      </c>
      <c r="AL131" s="1">
        <v>39.4</v>
      </c>
      <c r="AM131" s="1">
        <v>27.5</v>
      </c>
      <c r="AN131" s="1">
        <v>1231</v>
      </c>
      <c r="AO131" s="1">
        <v>670</v>
      </c>
      <c r="AP131" s="1">
        <v>468</v>
      </c>
      <c r="AQ131">
        <f>AL131/AM131</f>
        <v>1.4327272727272726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12</v>
      </c>
      <c r="BH131" s="1">
        <v>12272.63</v>
      </c>
      <c r="BI131" s="1">
        <v>0</v>
      </c>
      <c r="BJ131" s="1">
        <v>0</v>
      </c>
    </row>
    <row r="132" spans="1:62" x14ac:dyDescent="0.3">
      <c r="A132">
        <v>1</v>
      </c>
      <c r="B132" s="1">
        <v>131</v>
      </c>
      <c r="C132" s="1" t="s">
        <v>134</v>
      </c>
      <c r="D132">
        <v>1</v>
      </c>
      <c r="E132" s="2">
        <v>43496</v>
      </c>
      <c r="F132" t="s">
        <v>135</v>
      </c>
      <c r="G132" s="1">
        <v>0</v>
      </c>
      <c r="H132" s="1">
        <v>0</v>
      </c>
      <c r="I132" s="1">
        <v>4</v>
      </c>
      <c r="J132" s="1" t="s">
        <v>182</v>
      </c>
      <c r="K132" s="1">
        <v>27.46</v>
      </c>
      <c r="L132" s="1">
        <v>0</v>
      </c>
      <c r="M132" s="1">
        <v>1</v>
      </c>
      <c r="N132" s="1">
        <v>1</v>
      </c>
      <c r="O132" s="1">
        <v>1</v>
      </c>
      <c r="P132" s="1">
        <v>0</v>
      </c>
      <c r="Q132" s="1">
        <v>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1</v>
      </c>
      <c r="Z132" s="1">
        <v>2</v>
      </c>
      <c r="AA132" s="1">
        <v>0.3</v>
      </c>
      <c r="AB132" s="1">
        <v>13.2</v>
      </c>
      <c r="AC132" s="1">
        <v>21</v>
      </c>
      <c r="AD132">
        <f>AB132*100/AC132</f>
        <v>62.857142857142854</v>
      </c>
      <c r="AE132" s="1">
        <v>5</v>
      </c>
      <c r="AF132" s="1">
        <v>505</v>
      </c>
      <c r="AG132" s="1">
        <v>43.1</v>
      </c>
      <c r="AH132" s="1">
        <v>50.9</v>
      </c>
      <c r="AI132" s="1">
        <v>14.3</v>
      </c>
      <c r="AJ132" s="1">
        <v>6.06</v>
      </c>
      <c r="AR132">
        <v>1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1</v>
      </c>
      <c r="AZ132">
        <v>0</v>
      </c>
      <c r="BA132">
        <v>0</v>
      </c>
      <c r="BB132">
        <v>1</v>
      </c>
      <c r="BC132">
        <v>0</v>
      </c>
      <c r="BD132">
        <v>0</v>
      </c>
      <c r="BE132" s="1">
        <v>0</v>
      </c>
      <c r="BF132" s="1">
        <v>1</v>
      </c>
      <c r="BG132" s="1">
        <v>60</v>
      </c>
      <c r="BH132">
        <f>256620+25.72+26224+4315+6990</f>
        <v>294174.71999999997</v>
      </c>
      <c r="BI132" s="1">
        <v>1</v>
      </c>
      <c r="BJ132" s="1">
        <v>1</v>
      </c>
    </row>
    <row r="133" spans="1:62" x14ac:dyDescent="0.3">
      <c r="A133" s="1">
        <v>1</v>
      </c>
      <c r="B133">
        <v>132</v>
      </c>
      <c r="C133" s="1" t="s">
        <v>54</v>
      </c>
      <c r="D133">
        <v>0</v>
      </c>
      <c r="E133" s="6">
        <v>42781</v>
      </c>
      <c r="F133" s="1" t="s">
        <v>82</v>
      </c>
      <c r="G133" s="1">
        <v>0</v>
      </c>
      <c r="H133" s="1">
        <v>0</v>
      </c>
      <c r="I133" s="1">
        <v>2</v>
      </c>
      <c r="J133" s="1" t="s">
        <v>190</v>
      </c>
      <c r="K133" s="1">
        <v>24.24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</v>
      </c>
      <c r="X133" s="1">
        <v>0</v>
      </c>
      <c r="Y133" s="1">
        <v>0</v>
      </c>
      <c r="Z133" s="1">
        <v>1</v>
      </c>
      <c r="AA133">
        <v>1.0715600000000001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14</v>
      </c>
      <c r="BH133" s="1">
        <v>12389.99</v>
      </c>
      <c r="BI133" s="1">
        <v>0</v>
      </c>
      <c r="BJ133" s="1">
        <v>0</v>
      </c>
    </row>
    <row r="134" spans="1:62" x14ac:dyDescent="0.3">
      <c r="A134" s="1">
        <v>1</v>
      </c>
      <c r="B134" s="1">
        <v>133</v>
      </c>
      <c r="C134" s="1" t="s">
        <v>62</v>
      </c>
      <c r="D134">
        <v>0</v>
      </c>
      <c r="E134" s="6">
        <v>43167</v>
      </c>
      <c r="F134" s="1" t="s">
        <v>103</v>
      </c>
      <c r="G134" s="1">
        <v>0</v>
      </c>
      <c r="H134" s="1">
        <v>0</v>
      </c>
      <c r="I134" s="1">
        <v>1</v>
      </c>
      <c r="J134" s="1" t="s">
        <v>189</v>
      </c>
      <c r="K134" s="1">
        <v>26.37</v>
      </c>
      <c r="L134" s="1">
        <v>0</v>
      </c>
      <c r="M134" s="1">
        <v>1</v>
      </c>
      <c r="N134" s="1">
        <v>1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2</v>
      </c>
      <c r="AA134">
        <v>1.2284000000000002</v>
      </c>
      <c r="AE134" s="1">
        <v>5</v>
      </c>
      <c r="AF134" s="1">
        <v>1067</v>
      </c>
      <c r="AG134" s="1">
        <v>14.1</v>
      </c>
      <c r="AH134" s="1">
        <v>196</v>
      </c>
      <c r="AI134" s="1">
        <v>8.19</v>
      </c>
      <c r="AJ134" s="1">
        <v>18.8</v>
      </c>
      <c r="AK134" s="1">
        <v>87.8</v>
      </c>
      <c r="AL134" s="1">
        <v>69.099999999999994</v>
      </c>
      <c r="AM134" s="1">
        <v>17.5</v>
      </c>
      <c r="AN134" s="1">
        <v>1054</v>
      </c>
      <c r="AO134" s="1">
        <v>829</v>
      </c>
      <c r="AP134" s="1">
        <v>210</v>
      </c>
      <c r="AQ134">
        <f>AL134/AM134</f>
        <v>3.9485714285714284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5</v>
      </c>
      <c r="BH134" s="1">
        <v>12395</v>
      </c>
      <c r="BI134" s="1">
        <v>0</v>
      </c>
      <c r="BJ134" s="1">
        <v>0</v>
      </c>
    </row>
    <row r="135" spans="1:62" x14ac:dyDescent="0.3">
      <c r="A135" s="1">
        <v>1</v>
      </c>
      <c r="B135" s="1">
        <v>134</v>
      </c>
      <c r="C135" s="1" t="s">
        <v>92</v>
      </c>
      <c r="D135">
        <v>0</v>
      </c>
      <c r="E135" s="6">
        <v>43167</v>
      </c>
      <c r="F135" s="1" t="s">
        <v>85</v>
      </c>
      <c r="G135" s="1">
        <v>0</v>
      </c>
      <c r="H135" s="1">
        <v>0</v>
      </c>
      <c r="I135" s="1">
        <v>3</v>
      </c>
      <c r="J135" s="1" t="s">
        <v>185</v>
      </c>
      <c r="K135" s="1">
        <v>30.81</v>
      </c>
      <c r="L135" s="1">
        <v>0</v>
      </c>
      <c r="M135" s="1">
        <v>1</v>
      </c>
      <c r="N135" s="1">
        <v>1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</v>
      </c>
      <c r="AA135">
        <v>2.6642999999999994</v>
      </c>
      <c r="AK135" s="1">
        <v>73.099999999999994</v>
      </c>
      <c r="AL135" s="1">
        <v>47.8</v>
      </c>
      <c r="AM135" s="1">
        <v>22.7</v>
      </c>
      <c r="AN135" s="1">
        <v>1901</v>
      </c>
      <c r="AO135" s="1">
        <v>124.3</v>
      </c>
      <c r="AP135" s="1">
        <v>590</v>
      </c>
      <c r="AQ135">
        <f>AL135/AM135</f>
        <v>2.105726872246696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6</v>
      </c>
      <c r="BH135" s="1">
        <v>12430.6</v>
      </c>
      <c r="BI135" s="1">
        <v>0</v>
      </c>
      <c r="BJ135" s="1">
        <v>0</v>
      </c>
    </row>
    <row r="136" spans="1:62" x14ac:dyDescent="0.3">
      <c r="A136" s="1">
        <v>1</v>
      </c>
      <c r="B136">
        <v>135</v>
      </c>
      <c r="C136" s="1" t="s">
        <v>110</v>
      </c>
      <c r="D136">
        <v>0</v>
      </c>
      <c r="E136" s="6">
        <v>43266</v>
      </c>
      <c r="F136" s="1" t="s">
        <v>85</v>
      </c>
      <c r="G136" s="1">
        <v>0</v>
      </c>
      <c r="H136" s="1">
        <v>0</v>
      </c>
      <c r="I136" s="1">
        <v>3</v>
      </c>
      <c r="J136" s="1" t="s">
        <v>188</v>
      </c>
      <c r="K136" s="1">
        <v>23.46</v>
      </c>
      <c r="L136" s="1">
        <v>0</v>
      </c>
      <c r="M136" s="1">
        <v>0</v>
      </c>
      <c r="N136" s="1">
        <v>1</v>
      </c>
      <c r="O136" s="1">
        <v>0</v>
      </c>
      <c r="P136" s="1">
        <v>0</v>
      </c>
      <c r="Q136" s="1">
        <v>1</v>
      </c>
      <c r="R136" s="1">
        <v>1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</v>
      </c>
      <c r="AA136">
        <v>1.3067</v>
      </c>
      <c r="AK136" s="1">
        <v>91.5</v>
      </c>
      <c r="AL136" s="1">
        <v>61</v>
      </c>
      <c r="AM136" s="1">
        <v>29.5</v>
      </c>
      <c r="AN136" s="1">
        <v>1190</v>
      </c>
      <c r="AO136" s="1">
        <v>793</v>
      </c>
      <c r="AP136" s="1">
        <v>384</v>
      </c>
      <c r="AQ136">
        <f>AL136/AM136</f>
        <v>2.0677966101694913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4</v>
      </c>
      <c r="BH136" s="1">
        <v>3630.1</v>
      </c>
      <c r="BI136" s="1">
        <v>0</v>
      </c>
      <c r="BJ136" s="1">
        <v>0</v>
      </c>
    </row>
    <row r="137" spans="1:62" x14ac:dyDescent="0.3">
      <c r="A137">
        <v>1</v>
      </c>
      <c r="B137" s="1">
        <v>136</v>
      </c>
      <c r="C137" s="1" t="s">
        <v>60</v>
      </c>
      <c r="D137">
        <v>0</v>
      </c>
      <c r="E137" s="2">
        <v>43509</v>
      </c>
      <c r="F137" t="s">
        <v>123</v>
      </c>
      <c r="G137" s="1">
        <v>1</v>
      </c>
      <c r="H137" s="1">
        <v>1</v>
      </c>
      <c r="I137" s="1">
        <v>2</v>
      </c>
      <c r="J137" s="1" t="s">
        <v>190</v>
      </c>
      <c r="K137" s="1">
        <v>18.309999999999999</v>
      </c>
      <c r="L137" s="1">
        <v>0</v>
      </c>
      <c r="M137" s="1">
        <v>1</v>
      </c>
      <c r="N137" s="1">
        <v>0</v>
      </c>
      <c r="O137" s="1">
        <v>1</v>
      </c>
      <c r="P137" s="1">
        <v>1</v>
      </c>
      <c r="Q137" s="1">
        <v>1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2</v>
      </c>
      <c r="AA137" s="1">
        <v>0.88</v>
      </c>
      <c r="AB137" s="1">
        <v>6.31</v>
      </c>
      <c r="AC137" s="1">
        <v>21</v>
      </c>
      <c r="AD137">
        <f>AB137*100/AC137</f>
        <v>30.047619047619047</v>
      </c>
      <c r="AE137" s="1">
        <v>5</v>
      </c>
      <c r="AF137" s="1">
        <v>1328</v>
      </c>
      <c r="AG137" s="1">
        <v>260</v>
      </c>
      <c r="AH137" s="1">
        <v>27.1</v>
      </c>
      <c r="AI137" s="1">
        <v>53.9</v>
      </c>
      <c r="AJ137" s="1">
        <v>19.5</v>
      </c>
      <c r="AK137" s="1">
        <v>74.3</v>
      </c>
      <c r="AL137" s="1">
        <v>49.5</v>
      </c>
      <c r="AM137" s="1">
        <v>26.1</v>
      </c>
      <c r="AN137" s="1">
        <v>565</v>
      </c>
      <c r="AO137" s="1">
        <v>376</v>
      </c>
      <c r="AP137" s="1">
        <v>198</v>
      </c>
      <c r="AQ137">
        <f>AL137/AM137</f>
        <v>1.8965517241379308</v>
      </c>
      <c r="AR137" s="1">
        <v>1</v>
      </c>
      <c r="AS137" s="1">
        <v>0</v>
      </c>
      <c r="AT137" s="1">
        <v>1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1</v>
      </c>
      <c r="BE137" s="1">
        <v>2</v>
      </c>
      <c r="BF137" s="1">
        <v>1</v>
      </c>
      <c r="BG137" s="1">
        <v>13</v>
      </c>
      <c r="BH137">
        <f>65209.49+16132+840+280+6159+1150+1296+4860+1340+2556.42</f>
        <v>99822.909999999989</v>
      </c>
      <c r="BI137" s="1">
        <v>1</v>
      </c>
      <c r="BJ137" s="1">
        <v>1</v>
      </c>
    </row>
    <row r="138" spans="1:62" x14ac:dyDescent="0.3">
      <c r="A138">
        <v>1</v>
      </c>
      <c r="B138">
        <v>137</v>
      </c>
      <c r="C138" s="1" t="s">
        <v>60</v>
      </c>
      <c r="D138">
        <v>0</v>
      </c>
      <c r="E138" s="2">
        <v>43493</v>
      </c>
      <c r="F138" t="s">
        <v>64</v>
      </c>
      <c r="G138" s="1">
        <v>0</v>
      </c>
      <c r="H138" s="1">
        <v>0</v>
      </c>
      <c r="I138" s="1">
        <v>2</v>
      </c>
      <c r="J138" s="1" t="s">
        <v>191</v>
      </c>
      <c r="K138" s="1">
        <v>20.55</v>
      </c>
      <c r="L138" s="1">
        <v>0</v>
      </c>
      <c r="M138" s="1">
        <v>1</v>
      </c>
      <c r="N138" s="1">
        <v>1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2</v>
      </c>
      <c r="AA138" s="1">
        <v>0.48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 s="1">
        <v>0</v>
      </c>
      <c r="BF138" s="1">
        <v>0</v>
      </c>
      <c r="BG138" s="1">
        <v>9</v>
      </c>
      <c r="BH138">
        <f>4201.67+5759+521+141+192+551+494+475+126.63</f>
        <v>12461.3</v>
      </c>
      <c r="BI138" s="1">
        <v>1</v>
      </c>
      <c r="BJ138" s="1">
        <v>0</v>
      </c>
    </row>
    <row r="139" spans="1:62" x14ac:dyDescent="0.3">
      <c r="A139" s="1">
        <v>1</v>
      </c>
      <c r="B139" s="1">
        <v>138</v>
      </c>
      <c r="C139" s="1" t="s">
        <v>77</v>
      </c>
      <c r="D139">
        <v>0</v>
      </c>
      <c r="E139" s="6">
        <v>43126</v>
      </c>
      <c r="F139" s="1" t="s">
        <v>85</v>
      </c>
      <c r="G139" s="1">
        <v>0</v>
      </c>
      <c r="H139" s="1">
        <v>0</v>
      </c>
      <c r="I139" s="1">
        <v>3</v>
      </c>
      <c r="J139" s="1" t="s">
        <v>186</v>
      </c>
      <c r="K139" s="1">
        <v>26.78</v>
      </c>
      <c r="L139" s="1">
        <v>1</v>
      </c>
      <c r="M139" s="1">
        <v>0</v>
      </c>
      <c r="N139" s="1">
        <v>1</v>
      </c>
      <c r="O139" s="1">
        <v>0</v>
      </c>
      <c r="P139" s="1">
        <v>0</v>
      </c>
      <c r="Q139" s="1">
        <v>0</v>
      </c>
      <c r="R139" s="1">
        <v>1</v>
      </c>
      <c r="S139" s="1">
        <v>0</v>
      </c>
      <c r="T139" s="1">
        <v>0</v>
      </c>
      <c r="U139" s="1">
        <v>0</v>
      </c>
      <c r="V139" s="1">
        <v>0</v>
      </c>
      <c r="W139" s="1">
        <v>1</v>
      </c>
      <c r="X139" s="1">
        <v>1</v>
      </c>
      <c r="Y139" s="1">
        <v>0</v>
      </c>
      <c r="Z139" s="1">
        <v>1</v>
      </c>
      <c r="AA139">
        <v>2.6092999999999993</v>
      </c>
      <c r="AK139" s="1">
        <v>79.3</v>
      </c>
      <c r="AL139" s="1">
        <v>52.4</v>
      </c>
      <c r="AM139" s="1">
        <v>22.8</v>
      </c>
      <c r="AN139" s="1">
        <v>2062</v>
      </c>
      <c r="AO139" s="1">
        <v>136.19999999999999</v>
      </c>
      <c r="AP139" s="1">
        <v>593</v>
      </c>
      <c r="AQ139">
        <f>AL139/AM139</f>
        <v>2.2982456140350878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15</v>
      </c>
      <c r="BH139" s="1">
        <v>12473.79</v>
      </c>
      <c r="BI139" s="1">
        <v>0</v>
      </c>
      <c r="BJ139" s="1">
        <v>1</v>
      </c>
    </row>
    <row r="140" spans="1:62" x14ac:dyDescent="0.3">
      <c r="A140">
        <v>1</v>
      </c>
      <c r="B140" s="1">
        <v>139</v>
      </c>
      <c r="C140" s="1" t="s">
        <v>60</v>
      </c>
      <c r="D140">
        <v>0</v>
      </c>
      <c r="E140" s="2">
        <v>43499</v>
      </c>
      <c r="F140" t="s">
        <v>123</v>
      </c>
      <c r="G140" s="1">
        <v>1</v>
      </c>
      <c r="H140" s="1">
        <v>1</v>
      </c>
      <c r="I140" s="1">
        <v>2</v>
      </c>
      <c r="J140" s="1" t="s">
        <v>190</v>
      </c>
      <c r="K140" s="1">
        <v>18.309999999999999</v>
      </c>
      <c r="L140" s="1">
        <v>0</v>
      </c>
      <c r="M140" s="1">
        <v>1</v>
      </c>
      <c r="N140" s="1">
        <v>0</v>
      </c>
      <c r="O140" s="1">
        <v>1</v>
      </c>
      <c r="P140" s="1">
        <v>1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2</v>
      </c>
      <c r="AA140" s="1">
        <v>0.76</v>
      </c>
      <c r="AB140" s="1">
        <v>6.31</v>
      </c>
      <c r="AC140" s="1">
        <v>21</v>
      </c>
      <c r="AD140">
        <f>AB140*100/AC140</f>
        <v>30.047619047619047</v>
      </c>
      <c r="AE140" s="1">
        <v>5</v>
      </c>
      <c r="AF140" s="1">
        <v>1328</v>
      </c>
      <c r="AG140" s="1">
        <v>260</v>
      </c>
      <c r="AH140" s="1">
        <v>27.1</v>
      </c>
      <c r="AI140" s="1">
        <v>53.9</v>
      </c>
      <c r="AJ140" s="1">
        <v>19.5</v>
      </c>
      <c r="AK140" s="1">
        <v>74.3</v>
      </c>
      <c r="AL140" s="1">
        <v>49.5</v>
      </c>
      <c r="AM140" s="1">
        <v>26.1</v>
      </c>
      <c r="AN140" s="1">
        <v>565</v>
      </c>
      <c r="AO140" s="1">
        <v>376</v>
      </c>
      <c r="AP140" s="1">
        <v>198</v>
      </c>
      <c r="AQ140">
        <f>AL140/AM140</f>
        <v>1.8965517241379308</v>
      </c>
      <c r="AR140" s="1">
        <v>1</v>
      </c>
      <c r="AS140" s="1">
        <v>0</v>
      </c>
      <c r="AT140" s="1">
        <v>1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2</v>
      </c>
      <c r="BF140" s="1">
        <v>1</v>
      </c>
      <c r="BG140" s="1">
        <v>13</v>
      </c>
      <c r="BH140">
        <f>65209.49+16132+840+280+6159+1150+1296+4860+1340+2556.42</f>
        <v>99822.909999999989</v>
      </c>
      <c r="BI140" s="1">
        <v>1</v>
      </c>
      <c r="BJ140" s="1">
        <v>1</v>
      </c>
    </row>
    <row r="141" spans="1:62" x14ac:dyDescent="0.3">
      <c r="A141" s="1">
        <v>1</v>
      </c>
      <c r="B141">
        <v>140</v>
      </c>
      <c r="C141" s="1" t="s">
        <v>115</v>
      </c>
      <c r="D141">
        <v>0</v>
      </c>
      <c r="E141" s="6">
        <v>43273</v>
      </c>
      <c r="F141" s="1" t="s">
        <v>85</v>
      </c>
      <c r="G141" s="1">
        <v>0</v>
      </c>
      <c r="H141" s="1">
        <v>0</v>
      </c>
      <c r="I141" s="1">
        <v>1</v>
      </c>
      <c r="J141" s="1" t="s">
        <v>183</v>
      </c>
      <c r="K141" s="1">
        <v>18.03</v>
      </c>
      <c r="L141" s="1">
        <v>0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</v>
      </c>
      <c r="AA141">
        <v>4.141</v>
      </c>
      <c r="AK141" s="1">
        <v>81.7</v>
      </c>
      <c r="AL141" s="1">
        <v>47.7</v>
      </c>
      <c r="AM141" s="1">
        <v>30.3</v>
      </c>
      <c r="AN141" s="1">
        <v>3431</v>
      </c>
      <c r="AO141" s="1">
        <v>200.3</v>
      </c>
      <c r="AP141" s="1">
        <v>127.3</v>
      </c>
      <c r="AQ141">
        <f>AL141/AM141</f>
        <v>1.5742574257425743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12</v>
      </c>
      <c r="BH141" s="1">
        <v>12533.47</v>
      </c>
      <c r="BI141" s="1">
        <v>0</v>
      </c>
      <c r="BJ141" s="1">
        <v>0</v>
      </c>
    </row>
    <row r="142" spans="1:62" x14ac:dyDescent="0.3">
      <c r="A142">
        <v>1</v>
      </c>
      <c r="B142" s="1">
        <v>141</v>
      </c>
      <c r="C142" t="s">
        <v>69</v>
      </c>
      <c r="D142">
        <v>0</v>
      </c>
      <c r="E142" s="2">
        <v>43482</v>
      </c>
      <c r="F142" t="s">
        <v>53</v>
      </c>
      <c r="G142" s="1">
        <v>0</v>
      </c>
      <c r="H142" s="1">
        <v>0</v>
      </c>
      <c r="I142" s="1">
        <v>2</v>
      </c>
      <c r="J142" s="1" t="s">
        <v>191</v>
      </c>
      <c r="K142" s="1">
        <v>20.89</v>
      </c>
      <c r="L142" s="1">
        <v>0</v>
      </c>
      <c r="M142" s="1">
        <v>1</v>
      </c>
      <c r="N142" s="1">
        <v>1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1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1</v>
      </c>
      <c r="AA142" s="1">
        <v>0.99</v>
      </c>
      <c r="AB142" s="1">
        <v>14.89</v>
      </c>
      <c r="AC142">
        <f>21+4*6</f>
        <v>45</v>
      </c>
      <c r="AD142">
        <f>AB142*100/AC142</f>
        <v>33.088888888888889</v>
      </c>
      <c r="AE142" s="1">
        <v>5</v>
      </c>
      <c r="AF142" s="1">
        <v>465</v>
      </c>
      <c r="AG142" s="1">
        <v>2</v>
      </c>
      <c r="AH142" s="1">
        <v>60</v>
      </c>
      <c r="AI142" s="1">
        <v>5</v>
      </c>
      <c r="AK142" s="1">
        <v>74</v>
      </c>
      <c r="AL142" s="1">
        <v>29.9</v>
      </c>
      <c r="AM142" s="1">
        <v>43.8</v>
      </c>
      <c r="AN142" s="1">
        <v>733</v>
      </c>
      <c r="AO142" s="1">
        <v>296</v>
      </c>
      <c r="AP142" s="1">
        <v>434</v>
      </c>
      <c r="AQ142">
        <f>AL142/AM142</f>
        <v>0.68264840182648401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2</v>
      </c>
      <c r="BE142" s="1">
        <v>0</v>
      </c>
      <c r="BF142" s="1">
        <v>0</v>
      </c>
      <c r="BG142" s="1">
        <v>14</v>
      </c>
      <c r="BH142">
        <f>4069.61+4528+665+407+618+812+728+700+40.95</f>
        <v>12568.560000000001</v>
      </c>
      <c r="BI142" s="1">
        <v>0</v>
      </c>
      <c r="BJ142" s="1">
        <v>1</v>
      </c>
    </row>
    <row r="143" spans="1:62" x14ac:dyDescent="0.3">
      <c r="A143" s="1">
        <v>1</v>
      </c>
      <c r="B143">
        <v>142</v>
      </c>
      <c r="C143" s="1" t="s">
        <v>54</v>
      </c>
      <c r="D143">
        <v>0</v>
      </c>
      <c r="E143" s="6">
        <v>43036</v>
      </c>
      <c r="F143" s="1" t="s">
        <v>121</v>
      </c>
      <c r="G143" s="1">
        <v>0</v>
      </c>
      <c r="H143" s="1">
        <v>0</v>
      </c>
      <c r="I143" s="1">
        <v>2</v>
      </c>
      <c r="J143" s="1" t="s">
        <v>197</v>
      </c>
      <c r="K143" s="1">
        <v>22.86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1</v>
      </c>
      <c r="S143" s="1">
        <v>0</v>
      </c>
      <c r="T143" s="1">
        <v>1</v>
      </c>
      <c r="U143" s="1">
        <v>0</v>
      </c>
      <c r="V143" s="1">
        <v>0</v>
      </c>
      <c r="W143" s="1">
        <v>0</v>
      </c>
      <c r="X143" s="1">
        <v>1</v>
      </c>
      <c r="Y143" s="1">
        <v>0</v>
      </c>
      <c r="Z143" s="1">
        <v>2</v>
      </c>
      <c r="AA143">
        <v>0.74549999999999994</v>
      </c>
      <c r="AB143" s="1">
        <v>9.9600000000000009</v>
      </c>
      <c r="AC143" s="1">
        <v>21</v>
      </c>
      <c r="AD143">
        <f>AB143*100/AC143</f>
        <v>47.428571428571431</v>
      </c>
      <c r="AR143">
        <v>1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1</v>
      </c>
      <c r="AY143">
        <v>0</v>
      </c>
      <c r="AZ143">
        <v>0</v>
      </c>
      <c r="BA143">
        <v>0</v>
      </c>
      <c r="BB143">
        <v>0</v>
      </c>
      <c r="BC143">
        <v>0</v>
      </c>
      <c r="BD143" s="1">
        <v>2</v>
      </c>
      <c r="BE143" s="1">
        <v>1</v>
      </c>
      <c r="BF143" s="1">
        <v>0</v>
      </c>
      <c r="BG143" s="1">
        <v>15</v>
      </c>
      <c r="BH143" s="1">
        <v>11124.66</v>
      </c>
      <c r="BI143" s="1">
        <v>0</v>
      </c>
      <c r="BJ143" s="1">
        <v>0</v>
      </c>
    </row>
    <row r="144" spans="1:62" x14ac:dyDescent="0.3">
      <c r="A144" s="1">
        <v>1</v>
      </c>
      <c r="B144" s="1">
        <v>143</v>
      </c>
      <c r="C144" s="1" t="s">
        <v>92</v>
      </c>
      <c r="D144">
        <v>0</v>
      </c>
      <c r="E144" s="6">
        <v>43174</v>
      </c>
      <c r="F144" s="1" t="s">
        <v>85</v>
      </c>
      <c r="G144" s="1">
        <v>0</v>
      </c>
      <c r="H144" s="1">
        <v>0</v>
      </c>
      <c r="I144" s="1">
        <v>3</v>
      </c>
      <c r="J144" s="1" t="s">
        <v>187</v>
      </c>
      <c r="K144" s="1">
        <v>24.34</v>
      </c>
      <c r="L144" s="1">
        <v>0</v>
      </c>
      <c r="M144" s="1">
        <v>0</v>
      </c>
      <c r="N144" s="1">
        <v>1</v>
      </c>
      <c r="O144" s="1">
        <v>0</v>
      </c>
      <c r="P144" s="1">
        <v>0</v>
      </c>
      <c r="Q144" s="1">
        <v>0</v>
      </c>
      <c r="R144" s="1">
        <v>1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</v>
      </c>
      <c r="AA144">
        <v>0.97659999999999991</v>
      </c>
      <c r="AG144" s="1">
        <v>6.34</v>
      </c>
      <c r="AH144" s="1">
        <v>464</v>
      </c>
      <c r="AI144" s="1">
        <v>5</v>
      </c>
      <c r="AK144" s="1">
        <v>77.5</v>
      </c>
      <c r="AL144" s="1">
        <v>41.6</v>
      </c>
      <c r="AM144" s="1">
        <v>33.4</v>
      </c>
      <c r="AN144" s="1">
        <v>775</v>
      </c>
      <c r="AO144" s="1">
        <v>416</v>
      </c>
      <c r="AP144" s="1">
        <v>334</v>
      </c>
      <c r="AQ144">
        <f>AL144/AM144</f>
        <v>1.2455089820359282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11</v>
      </c>
      <c r="BH144" s="1">
        <v>12974.38</v>
      </c>
      <c r="BI144" s="1">
        <v>0</v>
      </c>
      <c r="BJ144" s="1">
        <v>0</v>
      </c>
    </row>
    <row r="145" spans="1:62" x14ac:dyDescent="0.3">
      <c r="A145" s="1">
        <v>1</v>
      </c>
      <c r="B145" s="1">
        <v>144</v>
      </c>
      <c r="C145" s="1" t="s">
        <v>54</v>
      </c>
      <c r="D145">
        <v>0</v>
      </c>
      <c r="E145" s="6">
        <v>43419</v>
      </c>
      <c r="F145" s="1" t="s">
        <v>53</v>
      </c>
      <c r="G145" s="1">
        <v>0</v>
      </c>
      <c r="H145" s="1">
        <v>1</v>
      </c>
      <c r="I145" s="1">
        <v>2</v>
      </c>
      <c r="J145" s="1" t="s">
        <v>192</v>
      </c>
      <c r="K145" s="1">
        <v>24.2</v>
      </c>
      <c r="L145" s="1">
        <v>0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0</v>
      </c>
      <c r="S145" s="1">
        <v>0</v>
      </c>
      <c r="T145" s="1">
        <v>1</v>
      </c>
      <c r="U145" s="1">
        <v>0</v>
      </c>
      <c r="V145" s="1">
        <v>1</v>
      </c>
      <c r="W145" s="1">
        <v>0</v>
      </c>
      <c r="X145" s="1">
        <v>0</v>
      </c>
      <c r="Y145" s="1">
        <v>0</v>
      </c>
      <c r="Z145" s="1">
        <v>2</v>
      </c>
      <c r="AA145">
        <v>0.66220000000000001</v>
      </c>
      <c r="AB145" s="1">
        <v>9.9600000000000009</v>
      </c>
      <c r="AC145" s="1">
        <v>41</v>
      </c>
      <c r="AD145">
        <f>AB145*100/AC145</f>
        <v>24.292682926829272</v>
      </c>
      <c r="AE145" s="1">
        <v>5</v>
      </c>
      <c r="AF145" s="1">
        <v>1876</v>
      </c>
      <c r="AG145" s="1">
        <v>29.3</v>
      </c>
      <c r="AH145" s="1">
        <v>23.3</v>
      </c>
      <c r="AI145" s="1">
        <v>5</v>
      </c>
      <c r="AJ145" s="1">
        <v>13</v>
      </c>
      <c r="AK145" s="1">
        <v>57.1</v>
      </c>
      <c r="AL145" s="1">
        <v>42.3</v>
      </c>
      <c r="AM145" s="1">
        <v>9.1999999999999993</v>
      </c>
      <c r="AN145" s="1">
        <v>771</v>
      </c>
      <c r="AO145" s="1">
        <v>571</v>
      </c>
      <c r="AP145" s="1">
        <v>124</v>
      </c>
      <c r="AQ145">
        <f>AL145/AM145</f>
        <v>4.5978260869565215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2</v>
      </c>
      <c r="BE145" s="1">
        <v>1</v>
      </c>
      <c r="BF145" s="1">
        <v>1</v>
      </c>
      <c r="BG145" s="1">
        <v>14</v>
      </c>
      <c r="BH145" s="1">
        <v>38393.800000000003</v>
      </c>
      <c r="BI145" s="1">
        <v>1</v>
      </c>
      <c r="BJ145" s="1">
        <v>1</v>
      </c>
    </row>
    <row r="146" spans="1:62" x14ac:dyDescent="0.3">
      <c r="A146" s="1">
        <v>1</v>
      </c>
      <c r="B146">
        <v>145</v>
      </c>
      <c r="C146" s="1" t="s">
        <v>54</v>
      </c>
      <c r="D146">
        <v>0</v>
      </c>
      <c r="E146" s="6">
        <v>42851</v>
      </c>
      <c r="F146" s="1" t="s">
        <v>85</v>
      </c>
      <c r="G146" s="1">
        <v>0</v>
      </c>
      <c r="H146" s="1">
        <v>0</v>
      </c>
      <c r="I146" s="1">
        <v>3</v>
      </c>
      <c r="J146" s="1" t="s">
        <v>188</v>
      </c>
      <c r="K146" s="1">
        <v>20.96</v>
      </c>
      <c r="L146" s="1">
        <v>0</v>
      </c>
      <c r="M146" s="1">
        <v>0</v>
      </c>
      <c r="N146" s="1">
        <v>1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1</v>
      </c>
      <c r="AA146">
        <v>1.5087000000000002</v>
      </c>
      <c r="AK146" s="1">
        <v>79.599999999999994</v>
      </c>
      <c r="AL146" s="1">
        <v>45.8</v>
      </c>
      <c r="AM146" s="1">
        <v>23.6</v>
      </c>
      <c r="AN146" s="1">
        <v>1194</v>
      </c>
      <c r="AO146" s="1">
        <v>687</v>
      </c>
      <c r="AP146" s="1">
        <v>354</v>
      </c>
      <c r="AQ146">
        <f>AL146/AM146</f>
        <v>1.9406779661016946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10</v>
      </c>
      <c r="BH146" s="1">
        <v>13056.08</v>
      </c>
      <c r="BI146" s="1">
        <v>0</v>
      </c>
      <c r="BJ146" s="1">
        <v>0</v>
      </c>
    </row>
    <row r="147" spans="1:62" x14ac:dyDescent="0.3">
      <c r="A147" s="1">
        <v>1</v>
      </c>
      <c r="B147" s="1">
        <v>146</v>
      </c>
      <c r="C147" s="1" t="s">
        <v>49</v>
      </c>
      <c r="D147">
        <v>0</v>
      </c>
      <c r="E147" s="6">
        <v>42710</v>
      </c>
      <c r="F147" s="1" t="s">
        <v>63</v>
      </c>
      <c r="G147" s="1">
        <v>0</v>
      </c>
      <c r="H147" s="1">
        <v>0</v>
      </c>
      <c r="I147" s="1">
        <v>4</v>
      </c>
      <c r="J147" s="1" t="s">
        <v>184</v>
      </c>
      <c r="K147" s="1">
        <v>23.6</v>
      </c>
      <c r="L147" s="1">
        <v>0</v>
      </c>
      <c r="M147" s="1">
        <v>0</v>
      </c>
      <c r="N147" s="1">
        <v>0</v>
      </c>
      <c r="O147" s="1">
        <v>0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1</v>
      </c>
      <c r="AA147">
        <v>1.0009999999999999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7</v>
      </c>
      <c r="BH147" s="1">
        <v>13077.14</v>
      </c>
      <c r="BI147" s="1">
        <v>0</v>
      </c>
      <c r="BJ147" s="1">
        <v>0</v>
      </c>
    </row>
    <row r="148" spans="1:62" x14ac:dyDescent="0.3">
      <c r="A148" s="1">
        <v>1</v>
      </c>
      <c r="B148">
        <v>147</v>
      </c>
      <c r="C148" s="1" t="s">
        <v>96</v>
      </c>
      <c r="D148">
        <v>0</v>
      </c>
      <c r="E148" s="6">
        <v>43104</v>
      </c>
      <c r="F148" s="1" t="s">
        <v>88</v>
      </c>
      <c r="G148" s="1">
        <v>0</v>
      </c>
      <c r="H148" s="1">
        <v>0</v>
      </c>
      <c r="I148" s="1">
        <v>3</v>
      </c>
      <c r="J148" s="1" t="s">
        <v>188</v>
      </c>
      <c r="K148" s="1">
        <v>19.47</v>
      </c>
      <c r="L148" s="1">
        <v>0</v>
      </c>
      <c r="M148" s="1">
        <v>1</v>
      </c>
      <c r="N148" s="1">
        <v>1</v>
      </c>
      <c r="O148" s="1">
        <v>1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2</v>
      </c>
      <c r="AA148">
        <v>1.1268400000000001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19</v>
      </c>
      <c r="BH148" s="1">
        <v>13205.83</v>
      </c>
      <c r="BI148" s="1">
        <v>0</v>
      </c>
      <c r="BJ148" s="1">
        <v>0</v>
      </c>
    </row>
    <row r="149" spans="1:62" x14ac:dyDescent="0.3">
      <c r="A149" s="1">
        <v>1</v>
      </c>
      <c r="B149" s="1">
        <v>148</v>
      </c>
      <c r="C149" s="1" t="s">
        <v>60</v>
      </c>
      <c r="D149">
        <v>0</v>
      </c>
      <c r="E149" s="6">
        <v>42766</v>
      </c>
      <c r="F149" s="1" t="s">
        <v>121</v>
      </c>
      <c r="G149" s="1">
        <v>0</v>
      </c>
      <c r="H149" s="1">
        <v>0</v>
      </c>
      <c r="I149" s="1">
        <v>2</v>
      </c>
      <c r="J149" s="1" t="s">
        <v>196</v>
      </c>
      <c r="K149" s="1">
        <v>22.04</v>
      </c>
      <c r="L149" s="1">
        <v>0</v>
      </c>
      <c r="M149" s="1">
        <v>1</v>
      </c>
      <c r="N149" s="1">
        <v>0</v>
      </c>
      <c r="O149" s="1">
        <v>0</v>
      </c>
      <c r="P149" s="1">
        <v>1</v>
      </c>
      <c r="Q149" s="1">
        <v>1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</v>
      </c>
      <c r="Y149" s="1">
        <v>0</v>
      </c>
      <c r="Z149" s="1">
        <v>2</v>
      </c>
      <c r="AA149">
        <v>1.6692000000000002</v>
      </c>
      <c r="AK149">
        <v>74.2</v>
      </c>
      <c r="AL149">
        <v>31.6</v>
      </c>
      <c r="AM149">
        <v>40.5</v>
      </c>
      <c r="AQ149">
        <f>AL149/AM149</f>
        <v>0.780246913580247</v>
      </c>
      <c r="AR149">
        <v>1</v>
      </c>
      <c r="AS149">
        <v>1</v>
      </c>
      <c r="AT149">
        <v>0</v>
      </c>
      <c r="AU149">
        <v>0</v>
      </c>
      <c r="AV149">
        <v>0</v>
      </c>
      <c r="AW149">
        <v>0</v>
      </c>
      <c r="AX149">
        <v>1</v>
      </c>
      <c r="AY149">
        <v>0</v>
      </c>
      <c r="AZ149">
        <v>0</v>
      </c>
      <c r="BA149">
        <v>0</v>
      </c>
      <c r="BB149">
        <v>0</v>
      </c>
      <c r="BC149">
        <v>0</v>
      </c>
      <c r="BD149" s="1">
        <v>2</v>
      </c>
      <c r="BE149" s="1">
        <v>0</v>
      </c>
      <c r="BF149" s="1">
        <v>0</v>
      </c>
      <c r="BG149" s="1">
        <v>22</v>
      </c>
      <c r="BH149" s="1">
        <v>15605.11</v>
      </c>
      <c r="BI149" s="1">
        <v>0</v>
      </c>
      <c r="BJ149" s="1">
        <v>0</v>
      </c>
    </row>
    <row r="150" spans="1:62" x14ac:dyDescent="0.3">
      <c r="A150" s="1">
        <v>1</v>
      </c>
      <c r="B150" s="1">
        <v>149</v>
      </c>
      <c r="C150" s="1" t="s">
        <v>71</v>
      </c>
      <c r="D150">
        <v>0</v>
      </c>
      <c r="E150" s="6">
        <v>43104</v>
      </c>
      <c r="F150" s="1" t="s">
        <v>93</v>
      </c>
      <c r="G150" s="1">
        <v>0</v>
      </c>
      <c r="H150" s="1">
        <v>0</v>
      </c>
      <c r="I150" s="1">
        <v>3</v>
      </c>
      <c r="J150" s="1" t="s">
        <v>188</v>
      </c>
      <c r="K150" s="1">
        <v>19.47</v>
      </c>
      <c r="L150" s="1">
        <v>0</v>
      </c>
      <c r="M150" s="1">
        <v>1</v>
      </c>
      <c r="N150" s="1">
        <v>0</v>
      </c>
      <c r="O150" s="1">
        <v>1</v>
      </c>
      <c r="P150" s="1">
        <v>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2</v>
      </c>
      <c r="AA150">
        <v>1.1268400000000001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19</v>
      </c>
      <c r="BH150" s="1">
        <v>13280.83</v>
      </c>
      <c r="BI150" s="1">
        <v>0</v>
      </c>
      <c r="BJ150" s="1">
        <v>0</v>
      </c>
    </row>
    <row r="151" spans="1:62" x14ac:dyDescent="0.3">
      <c r="A151" s="1">
        <v>1</v>
      </c>
      <c r="B151">
        <v>150</v>
      </c>
      <c r="C151" s="1" t="s">
        <v>75</v>
      </c>
      <c r="D151">
        <v>0</v>
      </c>
      <c r="E151" s="6">
        <v>43048</v>
      </c>
      <c r="F151" s="1" t="s">
        <v>85</v>
      </c>
      <c r="G151" s="1">
        <v>0</v>
      </c>
      <c r="H151" s="1">
        <v>0</v>
      </c>
      <c r="I151" s="1">
        <v>3</v>
      </c>
      <c r="J151" s="1" t="s">
        <v>186</v>
      </c>
      <c r="K151" s="1">
        <v>27.04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1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</v>
      </c>
      <c r="Y151" s="1">
        <v>0</v>
      </c>
      <c r="Z151" s="1">
        <v>2</v>
      </c>
      <c r="AA151">
        <v>1.5839999999999999</v>
      </c>
      <c r="AN151" s="1">
        <v>1165</v>
      </c>
      <c r="AO151" s="1">
        <v>800</v>
      </c>
      <c r="AP151" s="1">
        <v>350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1</v>
      </c>
      <c r="BE151" s="1">
        <v>0</v>
      </c>
      <c r="BF151" s="1">
        <v>0</v>
      </c>
      <c r="BG151" s="1">
        <v>12</v>
      </c>
      <c r="BH151" s="1">
        <v>28115.71</v>
      </c>
      <c r="BI151" s="1">
        <v>0</v>
      </c>
      <c r="BJ151" s="1">
        <v>0</v>
      </c>
    </row>
    <row r="152" spans="1:62" x14ac:dyDescent="0.3">
      <c r="A152">
        <v>1</v>
      </c>
      <c r="B152" s="1">
        <v>151</v>
      </c>
      <c r="C152" s="1" t="s">
        <v>60</v>
      </c>
      <c r="D152">
        <v>0</v>
      </c>
      <c r="E152" s="2">
        <v>43521</v>
      </c>
      <c r="F152" t="s">
        <v>88</v>
      </c>
      <c r="G152" s="1">
        <v>0</v>
      </c>
      <c r="H152" s="1">
        <v>0</v>
      </c>
      <c r="I152" s="1">
        <v>2</v>
      </c>
      <c r="J152" s="1" t="s">
        <v>197</v>
      </c>
      <c r="K152" s="1">
        <v>26.67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1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</v>
      </c>
      <c r="Y152" s="1">
        <v>0</v>
      </c>
      <c r="Z152" s="1">
        <v>2</v>
      </c>
      <c r="AA152" s="1">
        <v>0.91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2</v>
      </c>
      <c r="BE152" s="1">
        <v>0</v>
      </c>
      <c r="BF152" s="1">
        <v>0</v>
      </c>
      <c r="BG152" s="1">
        <v>27</v>
      </c>
      <c r="BH152">
        <f>15150.34+1649+11273.06+30+70+619+634+2700+1134+1350+210</f>
        <v>34819.4</v>
      </c>
      <c r="BI152" s="1">
        <v>0</v>
      </c>
      <c r="BJ152" s="1">
        <v>0</v>
      </c>
    </row>
    <row r="153" spans="1:62" x14ac:dyDescent="0.3">
      <c r="A153">
        <v>1</v>
      </c>
      <c r="B153">
        <v>152</v>
      </c>
      <c r="C153" s="1" t="s">
        <v>60</v>
      </c>
      <c r="D153">
        <v>0</v>
      </c>
      <c r="E153" s="2">
        <v>43488</v>
      </c>
      <c r="F153" t="s">
        <v>129</v>
      </c>
      <c r="G153" s="1">
        <v>0</v>
      </c>
      <c r="H153" s="1">
        <v>0</v>
      </c>
      <c r="I153" s="1">
        <v>2</v>
      </c>
      <c r="J153" s="1" t="s">
        <v>194</v>
      </c>
      <c r="K153" s="1">
        <v>33.43</v>
      </c>
      <c r="L153" s="1">
        <v>0</v>
      </c>
      <c r="M153" s="1">
        <v>1</v>
      </c>
      <c r="N153" s="1">
        <v>1</v>
      </c>
      <c r="O153" s="1">
        <v>0</v>
      </c>
      <c r="P153" s="1">
        <v>1</v>
      </c>
      <c r="Q153" s="1">
        <v>1</v>
      </c>
      <c r="R153" s="1">
        <v>1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2</v>
      </c>
      <c r="AA153" s="1">
        <v>0.85</v>
      </c>
      <c r="AB153" s="1">
        <v>10.67</v>
      </c>
      <c r="AC153" s="1">
        <v>21</v>
      </c>
      <c r="AD153">
        <f>AB153*100/AC153</f>
        <v>50.80952380952381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1</v>
      </c>
      <c r="BE153" s="1">
        <v>0</v>
      </c>
      <c r="BF153" s="1">
        <v>0</v>
      </c>
      <c r="BG153" s="1">
        <v>10</v>
      </c>
      <c r="BH153">
        <f>4181.41+656.36+4553+40+235+230+3600+109.41</f>
        <v>13605.18</v>
      </c>
      <c r="BI153" s="1">
        <v>0</v>
      </c>
      <c r="BJ153" s="1">
        <v>0</v>
      </c>
    </row>
    <row r="154" spans="1:62" x14ac:dyDescent="0.3">
      <c r="A154" s="1">
        <v>1</v>
      </c>
      <c r="B154" s="1">
        <v>153</v>
      </c>
      <c r="C154" s="1" t="s">
        <v>54</v>
      </c>
      <c r="D154">
        <v>0</v>
      </c>
      <c r="E154" s="6">
        <v>43048</v>
      </c>
      <c r="F154" s="1" t="s">
        <v>85</v>
      </c>
      <c r="G154" s="1">
        <v>0</v>
      </c>
      <c r="H154" s="1">
        <v>0</v>
      </c>
      <c r="I154" s="1">
        <v>3</v>
      </c>
      <c r="J154" s="1" t="s">
        <v>186</v>
      </c>
      <c r="K154" s="1">
        <v>27.04</v>
      </c>
      <c r="L154" s="1">
        <v>0</v>
      </c>
      <c r="M154" s="1">
        <v>0</v>
      </c>
      <c r="N154" s="1">
        <v>1</v>
      </c>
      <c r="O154" s="1">
        <v>0</v>
      </c>
      <c r="P154" s="1">
        <v>0</v>
      </c>
      <c r="Q154" s="1">
        <v>1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</v>
      </c>
      <c r="Y154" s="1">
        <v>0</v>
      </c>
      <c r="Z154" s="1">
        <v>2</v>
      </c>
      <c r="AA154">
        <v>1.5839999999999999</v>
      </c>
      <c r="AN154" s="1">
        <v>1165</v>
      </c>
      <c r="AO154" s="1">
        <v>800</v>
      </c>
      <c r="AP154" s="1">
        <v>350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1</v>
      </c>
      <c r="BE154" s="1">
        <v>0</v>
      </c>
      <c r="BF154" s="1">
        <v>0</v>
      </c>
      <c r="BG154" s="1">
        <v>12</v>
      </c>
      <c r="BH154" s="1">
        <v>28115.71</v>
      </c>
      <c r="BI154" s="1">
        <v>0</v>
      </c>
      <c r="BJ154" s="1">
        <v>0</v>
      </c>
    </row>
    <row r="155" spans="1:62" x14ac:dyDescent="0.3">
      <c r="A155" s="1">
        <v>1</v>
      </c>
      <c r="B155" s="1">
        <v>154</v>
      </c>
      <c r="C155" s="1" t="s">
        <v>57</v>
      </c>
      <c r="D155">
        <v>0</v>
      </c>
      <c r="E155" s="6">
        <v>42394</v>
      </c>
      <c r="F155" s="1" t="s">
        <v>68</v>
      </c>
      <c r="G155" s="1">
        <v>0</v>
      </c>
      <c r="H155" s="1">
        <v>0</v>
      </c>
      <c r="I155" s="1">
        <v>3</v>
      </c>
      <c r="J155" s="1" t="s">
        <v>188</v>
      </c>
      <c r="K155" s="1">
        <v>18.600000000000001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2</v>
      </c>
      <c r="AA155">
        <v>0.53267999999999993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>
        <v>0</v>
      </c>
      <c r="BB155">
        <v>0</v>
      </c>
      <c r="BC155">
        <v>0</v>
      </c>
      <c r="BD155" s="1">
        <v>0</v>
      </c>
      <c r="BE155" s="1">
        <v>0</v>
      </c>
      <c r="BF155" s="1">
        <v>0</v>
      </c>
      <c r="BG155" s="1">
        <v>9</v>
      </c>
      <c r="BH155" s="1">
        <v>13695.04</v>
      </c>
      <c r="BI155" s="1">
        <v>0</v>
      </c>
      <c r="BJ155" s="1">
        <v>0</v>
      </c>
    </row>
    <row r="156" spans="1:62" x14ac:dyDescent="0.3">
      <c r="A156">
        <v>1</v>
      </c>
      <c r="B156">
        <v>155</v>
      </c>
      <c r="C156" s="1" t="s">
        <v>60</v>
      </c>
      <c r="D156">
        <v>0</v>
      </c>
      <c r="E156" s="2">
        <v>43515</v>
      </c>
      <c r="F156" t="s">
        <v>67</v>
      </c>
      <c r="G156" s="1">
        <v>0</v>
      </c>
      <c r="H156" s="1">
        <v>0</v>
      </c>
      <c r="I156" s="1">
        <v>2</v>
      </c>
      <c r="J156" s="1" t="s">
        <v>192</v>
      </c>
      <c r="K156" s="1">
        <v>26.67</v>
      </c>
      <c r="L156" s="1">
        <v>0</v>
      </c>
      <c r="M156" s="1">
        <v>1</v>
      </c>
      <c r="N156" s="1">
        <v>1</v>
      </c>
      <c r="O156" s="1">
        <v>0</v>
      </c>
      <c r="P156" s="1"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2</v>
      </c>
      <c r="AA156" s="1">
        <v>1.8</v>
      </c>
      <c r="AK156">
        <v>78.3</v>
      </c>
      <c r="AL156">
        <v>36</v>
      </c>
      <c r="AM156">
        <v>33.700000000000003</v>
      </c>
      <c r="AN156">
        <v>1253</v>
      </c>
      <c r="AO156">
        <v>576</v>
      </c>
      <c r="AP156">
        <v>539</v>
      </c>
      <c r="AQ156">
        <f>AL156/AM156</f>
        <v>1.0682492581602372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1</v>
      </c>
      <c r="BE156" s="1">
        <v>0</v>
      </c>
      <c r="BF156" s="1">
        <v>0</v>
      </c>
      <c r="BG156" s="1">
        <v>9</v>
      </c>
      <c r="BH156">
        <f>3138.74+29.63+7732+621+222+551+583+475+404.25</f>
        <v>13756.619999999999</v>
      </c>
      <c r="BI156" s="1">
        <v>1</v>
      </c>
      <c r="BJ156" s="1">
        <v>0</v>
      </c>
    </row>
    <row r="157" spans="1:62" x14ac:dyDescent="0.3">
      <c r="A157" s="1">
        <v>1</v>
      </c>
      <c r="B157" s="1">
        <v>156</v>
      </c>
      <c r="C157" s="1" t="s">
        <v>60</v>
      </c>
      <c r="D157">
        <v>0</v>
      </c>
      <c r="E157" s="6">
        <v>42387</v>
      </c>
      <c r="F157" s="1" t="s">
        <v>52</v>
      </c>
      <c r="G157" s="1">
        <v>0</v>
      </c>
      <c r="H157" s="1">
        <v>1</v>
      </c>
      <c r="I157" s="1">
        <v>1</v>
      </c>
      <c r="J157" s="1" t="s">
        <v>188</v>
      </c>
      <c r="K157" s="1">
        <v>22.72</v>
      </c>
      <c r="L157" s="1">
        <v>1</v>
      </c>
      <c r="M157" s="1">
        <v>1</v>
      </c>
      <c r="N157" s="1">
        <v>1</v>
      </c>
      <c r="O157" s="1">
        <v>0</v>
      </c>
      <c r="P157" s="1">
        <v>0</v>
      </c>
      <c r="Q157" s="1">
        <v>0</v>
      </c>
      <c r="R157" s="1">
        <v>0</v>
      </c>
      <c r="S157" s="1">
        <v>1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</v>
      </c>
      <c r="AA157">
        <v>0.82440000000000002</v>
      </c>
      <c r="AB157" s="1">
        <v>8.34</v>
      </c>
      <c r="AC157" s="1">
        <v>21</v>
      </c>
      <c r="AD157">
        <f>AB157*100/AC157</f>
        <v>39.714285714285715</v>
      </c>
      <c r="AE157" s="1">
        <v>5</v>
      </c>
      <c r="AF157" s="1">
        <v>261</v>
      </c>
      <c r="AG157" s="1">
        <v>2.4</v>
      </c>
      <c r="AH157" s="1">
        <v>65.900000000000006</v>
      </c>
      <c r="AI157" s="1">
        <v>5</v>
      </c>
      <c r="AJ157" s="1">
        <v>14.5</v>
      </c>
      <c r="AK157" s="1">
        <v>52.5</v>
      </c>
      <c r="AL157" s="1">
        <v>26.7</v>
      </c>
      <c r="AM157" s="1">
        <v>21.9</v>
      </c>
      <c r="AQ157">
        <f>AL157/AM157</f>
        <v>1.2191780821917808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>
        <v>0</v>
      </c>
      <c r="BB157">
        <v>0</v>
      </c>
      <c r="BC157">
        <v>0</v>
      </c>
      <c r="BD157" s="1">
        <v>0</v>
      </c>
      <c r="BE157" s="1">
        <v>0</v>
      </c>
      <c r="BF157" s="1">
        <v>1</v>
      </c>
      <c r="BG157" s="1">
        <v>7</v>
      </c>
      <c r="BH157" s="1">
        <v>13794.07</v>
      </c>
      <c r="BI157" s="1">
        <v>0</v>
      </c>
      <c r="BJ157" s="1">
        <v>1</v>
      </c>
    </row>
    <row r="158" spans="1:62" x14ac:dyDescent="0.3">
      <c r="A158" s="1">
        <v>1</v>
      </c>
      <c r="B158">
        <v>157</v>
      </c>
      <c r="C158" s="1" t="s">
        <v>49</v>
      </c>
      <c r="D158">
        <v>0</v>
      </c>
      <c r="E158" s="6">
        <v>42767</v>
      </c>
      <c r="F158" s="1" t="s">
        <v>64</v>
      </c>
      <c r="G158" s="1">
        <v>0</v>
      </c>
      <c r="H158" s="1">
        <v>1</v>
      </c>
      <c r="I158" s="1">
        <v>3</v>
      </c>
      <c r="J158" s="1" t="s">
        <v>186</v>
      </c>
      <c r="K158" s="1">
        <v>23.34</v>
      </c>
      <c r="L158" s="1">
        <v>0</v>
      </c>
      <c r="M158" s="1">
        <v>1</v>
      </c>
      <c r="N158" s="1">
        <v>1</v>
      </c>
      <c r="O158" s="1">
        <v>1</v>
      </c>
      <c r="P158" s="1">
        <v>1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2</v>
      </c>
      <c r="AA158">
        <v>0.48048000000000002</v>
      </c>
      <c r="AB158" s="1">
        <v>9.98</v>
      </c>
      <c r="AC158" s="1">
        <v>61</v>
      </c>
      <c r="AD158">
        <f>AB158*100/AC158</f>
        <v>16.360655737704917</v>
      </c>
      <c r="AE158" s="1">
        <v>5</v>
      </c>
      <c r="AF158" s="1">
        <v>1087</v>
      </c>
      <c r="AG158" s="1">
        <v>153</v>
      </c>
      <c r="AH158" s="1">
        <v>84.3</v>
      </c>
      <c r="AI158" s="1">
        <v>38.1</v>
      </c>
      <c r="AJ158" s="1">
        <v>6.99</v>
      </c>
      <c r="AK158" s="1">
        <v>69</v>
      </c>
      <c r="AL158" s="1">
        <v>31.8</v>
      </c>
      <c r="AM158" s="1">
        <v>27.5</v>
      </c>
      <c r="AN158" s="1">
        <v>469</v>
      </c>
      <c r="AO158" s="1">
        <v>216</v>
      </c>
      <c r="AP158" s="1">
        <v>187</v>
      </c>
      <c r="AQ158">
        <f>AL158/AM158</f>
        <v>1.1563636363636365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1</v>
      </c>
      <c r="BE158" s="1">
        <v>1</v>
      </c>
      <c r="BF158" s="1">
        <v>1</v>
      </c>
      <c r="BG158" s="1">
        <v>23</v>
      </c>
      <c r="BH158">
        <v>13796.08</v>
      </c>
      <c r="BI158" s="1">
        <v>1</v>
      </c>
      <c r="BJ158" s="1">
        <v>0</v>
      </c>
    </row>
    <row r="159" spans="1:62" x14ac:dyDescent="0.3">
      <c r="A159" s="1">
        <v>1</v>
      </c>
      <c r="B159" s="1">
        <v>158</v>
      </c>
      <c r="C159" s="1" t="s">
        <v>54</v>
      </c>
      <c r="D159">
        <v>0</v>
      </c>
      <c r="E159" s="6">
        <v>43112</v>
      </c>
      <c r="F159" s="1" t="s">
        <v>85</v>
      </c>
      <c r="G159" s="1">
        <v>0</v>
      </c>
      <c r="H159" s="1">
        <v>0</v>
      </c>
      <c r="I159" s="1">
        <v>3</v>
      </c>
      <c r="J159" s="1" t="s">
        <v>189</v>
      </c>
      <c r="K159" s="1">
        <v>28.34</v>
      </c>
      <c r="L159" s="1">
        <v>1</v>
      </c>
      <c r="M159" s="1">
        <v>0</v>
      </c>
      <c r="N159" s="1">
        <v>1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1</v>
      </c>
      <c r="Y159" s="1">
        <v>0</v>
      </c>
      <c r="Z159" s="1">
        <v>1</v>
      </c>
      <c r="AA159">
        <v>2.5898999999999996</v>
      </c>
      <c r="AK159" s="1">
        <v>75.8</v>
      </c>
      <c r="AL159" s="1">
        <v>49.2</v>
      </c>
      <c r="AM159" s="1">
        <v>18.2</v>
      </c>
      <c r="AN159" s="1">
        <v>1971</v>
      </c>
      <c r="AO159" s="1">
        <v>1279</v>
      </c>
      <c r="AP159" s="1">
        <v>473</v>
      </c>
      <c r="AQ159">
        <f>AL159/AM159</f>
        <v>2.7032967032967035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8</v>
      </c>
      <c r="BH159" s="1">
        <v>13849.94</v>
      </c>
      <c r="BI159" s="1">
        <v>0</v>
      </c>
      <c r="BJ159" s="1">
        <v>0</v>
      </c>
    </row>
    <row r="160" spans="1:62" x14ac:dyDescent="0.3">
      <c r="A160">
        <v>1</v>
      </c>
      <c r="B160" s="1">
        <v>159</v>
      </c>
      <c r="C160" s="1" t="s">
        <v>60</v>
      </c>
      <c r="D160">
        <v>0</v>
      </c>
      <c r="E160" s="2">
        <v>43498</v>
      </c>
      <c r="F160" t="s">
        <v>64</v>
      </c>
      <c r="G160" s="1">
        <v>0</v>
      </c>
      <c r="H160" s="1">
        <v>0</v>
      </c>
      <c r="I160" s="1">
        <v>2</v>
      </c>
      <c r="J160" s="1" t="s">
        <v>195</v>
      </c>
      <c r="K160" s="1">
        <v>21.78</v>
      </c>
      <c r="L160" s="1">
        <v>0</v>
      </c>
      <c r="M160" s="1">
        <v>1</v>
      </c>
      <c r="N160" s="1">
        <v>1</v>
      </c>
      <c r="O160" s="1">
        <v>0</v>
      </c>
      <c r="P160" s="1">
        <v>1</v>
      </c>
      <c r="Q160" s="1">
        <v>1</v>
      </c>
      <c r="R160" s="1">
        <v>1</v>
      </c>
      <c r="S160" s="1">
        <v>0</v>
      </c>
      <c r="T160" s="1">
        <v>0</v>
      </c>
      <c r="U160" s="1">
        <v>0</v>
      </c>
      <c r="V160" s="1">
        <v>1</v>
      </c>
      <c r="W160" s="1">
        <v>0</v>
      </c>
      <c r="X160" s="1">
        <v>1</v>
      </c>
      <c r="Y160" s="1">
        <v>0</v>
      </c>
      <c r="Z160" s="1">
        <v>2</v>
      </c>
      <c r="AA160" s="1">
        <v>0.95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2</v>
      </c>
      <c r="BE160" s="1">
        <v>0</v>
      </c>
      <c r="BF160" s="1">
        <v>0</v>
      </c>
      <c r="BG160" s="1">
        <v>51</v>
      </c>
      <c r="BH160">
        <f>17535.45+528.83+9500+204+305+2929+2251+2500+305.34</f>
        <v>36058.619999999995</v>
      </c>
      <c r="BI160" s="1">
        <v>1</v>
      </c>
      <c r="BJ160" s="1">
        <v>0</v>
      </c>
    </row>
    <row r="161" spans="1:62" x14ac:dyDescent="0.3">
      <c r="A161" s="1">
        <v>1</v>
      </c>
      <c r="B161">
        <v>160</v>
      </c>
      <c r="C161" s="1" t="s">
        <v>60</v>
      </c>
      <c r="D161">
        <v>0</v>
      </c>
      <c r="E161" s="6">
        <v>43126</v>
      </c>
      <c r="F161" s="1" t="s">
        <v>56</v>
      </c>
      <c r="G161" s="1">
        <v>0</v>
      </c>
      <c r="H161" s="1">
        <v>0</v>
      </c>
      <c r="I161" s="1">
        <v>2</v>
      </c>
      <c r="J161" s="1" t="s">
        <v>191</v>
      </c>
      <c r="K161" s="1">
        <v>25</v>
      </c>
      <c r="L161" s="1">
        <v>0</v>
      </c>
      <c r="M161" s="1">
        <v>1</v>
      </c>
      <c r="N161" s="1">
        <v>1</v>
      </c>
      <c r="O161" s="1">
        <v>0</v>
      </c>
      <c r="P161" s="1">
        <v>1</v>
      </c>
      <c r="Q161" s="1">
        <v>1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2</v>
      </c>
      <c r="AA161">
        <v>0.90595999999999988</v>
      </c>
      <c r="AB161" s="1">
        <v>9.25</v>
      </c>
      <c r="AC161" s="1">
        <v>21</v>
      </c>
      <c r="AD161">
        <f>AB161*100/AC161</f>
        <v>44.047619047619051</v>
      </c>
      <c r="AK161" s="1">
        <v>67.8</v>
      </c>
      <c r="AL161" s="1">
        <v>30.8</v>
      </c>
      <c r="AM161" s="1">
        <v>33.799999999999997</v>
      </c>
      <c r="AQ161">
        <f>AL161/AM161</f>
        <v>0.91124260355029596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13</v>
      </c>
      <c r="BH161" s="1">
        <v>17551.55</v>
      </c>
      <c r="BI161" s="1">
        <v>0</v>
      </c>
      <c r="BJ161" s="1">
        <v>0</v>
      </c>
    </row>
    <row r="162" spans="1:62" x14ac:dyDescent="0.3">
      <c r="A162" s="1">
        <v>1</v>
      </c>
      <c r="B162" s="1">
        <v>161</v>
      </c>
      <c r="C162" s="1" t="s">
        <v>74</v>
      </c>
      <c r="D162">
        <v>0</v>
      </c>
      <c r="E162" s="6">
        <v>42501</v>
      </c>
      <c r="F162" s="1" t="s">
        <v>52</v>
      </c>
      <c r="G162" s="1">
        <v>0</v>
      </c>
      <c r="H162" s="1">
        <v>1</v>
      </c>
      <c r="I162" s="1">
        <v>2</v>
      </c>
      <c r="J162" s="1" t="s">
        <v>193</v>
      </c>
      <c r="K162" s="1">
        <v>21.97</v>
      </c>
      <c r="L162" s="1">
        <v>0</v>
      </c>
      <c r="M162" s="1">
        <v>1</v>
      </c>
      <c r="N162" s="1">
        <v>1</v>
      </c>
      <c r="O162" s="1">
        <v>1</v>
      </c>
      <c r="P162" s="1">
        <v>1</v>
      </c>
      <c r="Q162" s="1">
        <v>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1</v>
      </c>
      <c r="Z162" s="1">
        <v>2</v>
      </c>
      <c r="AA162">
        <v>0.68543999999999994</v>
      </c>
      <c r="AB162" s="1">
        <v>12.91</v>
      </c>
      <c r="AC162" s="1">
        <v>65</v>
      </c>
      <c r="AD162">
        <f>AB162*100/AC162</f>
        <v>19.861538461538462</v>
      </c>
      <c r="AE162" s="1">
        <v>5</v>
      </c>
      <c r="AF162" s="1">
        <v>2648</v>
      </c>
      <c r="AG162" s="1">
        <v>5.37</v>
      </c>
      <c r="AH162" s="1">
        <v>56.7</v>
      </c>
      <c r="AI162" s="1">
        <v>5</v>
      </c>
      <c r="AJ162" s="1">
        <v>5.0199999999999996</v>
      </c>
      <c r="AK162" s="1">
        <v>64.3</v>
      </c>
      <c r="AL162" s="1">
        <v>28</v>
      </c>
      <c r="AM162" s="1">
        <v>34.799999999999997</v>
      </c>
      <c r="AN162" s="1">
        <v>1730</v>
      </c>
      <c r="AO162" s="1">
        <v>756</v>
      </c>
      <c r="AP162" s="1">
        <v>940</v>
      </c>
      <c r="AQ162">
        <f>AL162/AM162</f>
        <v>0.8045977011494253</v>
      </c>
      <c r="AR162" s="1">
        <v>1</v>
      </c>
      <c r="AS162" s="1">
        <v>1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3</v>
      </c>
      <c r="BE162" s="1">
        <v>1</v>
      </c>
      <c r="BF162" s="1">
        <v>1</v>
      </c>
      <c r="BG162" s="1">
        <v>45</v>
      </c>
      <c r="BH162" s="1">
        <v>94659.62</v>
      </c>
      <c r="BI162" s="1">
        <v>1</v>
      </c>
      <c r="BJ162" s="1">
        <v>1</v>
      </c>
    </row>
    <row r="163" spans="1:62" x14ac:dyDescent="0.3">
      <c r="A163">
        <v>1</v>
      </c>
      <c r="B163">
        <v>162</v>
      </c>
      <c r="C163" s="1" t="s">
        <v>90</v>
      </c>
      <c r="D163">
        <v>0</v>
      </c>
      <c r="E163" s="2" t="s">
        <v>156</v>
      </c>
      <c r="F163" s="4" t="s">
        <v>85</v>
      </c>
      <c r="G163" s="1">
        <v>0</v>
      </c>
      <c r="H163" s="1">
        <v>0</v>
      </c>
      <c r="I163" s="1">
        <v>4</v>
      </c>
      <c r="J163" s="1" t="s">
        <v>182</v>
      </c>
      <c r="K163" s="1">
        <v>22.49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</v>
      </c>
      <c r="Y163" s="1">
        <v>0</v>
      </c>
      <c r="Z163" s="1">
        <v>2</v>
      </c>
      <c r="AA163" s="1">
        <v>1.6</v>
      </c>
      <c r="AK163">
        <v>85.6</v>
      </c>
      <c r="AL163">
        <v>47.3</v>
      </c>
      <c r="AM163">
        <v>31.7</v>
      </c>
      <c r="AN163">
        <v>1370</v>
      </c>
      <c r="AO163">
        <v>757</v>
      </c>
      <c r="AP163">
        <v>507</v>
      </c>
      <c r="AQ163">
        <f>AL163/AM163</f>
        <v>1.4921135646687698</v>
      </c>
      <c r="AR163">
        <v>1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1</v>
      </c>
      <c r="BB163">
        <v>0</v>
      </c>
      <c r="BC163">
        <v>0</v>
      </c>
      <c r="BD163">
        <v>0</v>
      </c>
      <c r="BE163" s="1">
        <v>0</v>
      </c>
      <c r="BF163" s="1">
        <v>0</v>
      </c>
      <c r="BG163" s="1">
        <v>19</v>
      </c>
      <c r="BH163">
        <f>5699.31+4763+65+70+168+1102+798+950+371.7</f>
        <v>13987.010000000002</v>
      </c>
      <c r="BI163" s="1">
        <v>0</v>
      </c>
      <c r="BJ163" s="1">
        <v>0</v>
      </c>
    </row>
    <row r="164" spans="1:62" x14ac:dyDescent="0.3">
      <c r="A164" s="1">
        <v>1</v>
      </c>
      <c r="B164" s="1">
        <v>163</v>
      </c>
      <c r="C164" s="1" t="s">
        <v>101</v>
      </c>
      <c r="D164">
        <v>1</v>
      </c>
      <c r="E164" s="6">
        <v>43122</v>
      </c>
      <c r="F164" s="1" t="s">
        <v>85</v>
      </c>
      <c r="G164" s="1">
        <v>0</v>
      </c>
      <c r="H164" s="1">
        <v>0</v>
      </c>
      <c r="I164" s="1">
        <v>1</v>
      </c>
      <c r="J164" s="1" t="s">
        <v>183</v>
      </c>
      <c r="K164" s="1">
        <v>28.07</v>
      </c>
      <c r="L164" s="1">
        <v>0</v>
      </c>
      <c r="M164" s="1">
        <v>0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1</v>
      </c>
      <c r="Y164" s="1">
        <v>0</v>
      </c>
      <c r="Z164" s="1">
        <v>1</v>
      </c>
      <c r="AA164">
        <v>0.95679999999999987</v>
      </c>
      <c r="AK164" s="1">
        <v>70</v>
      </c>
      <c r="AL164" s="1">
        <v>22.1</v>
      </c>
      <c r="AM164" s="1">
        <v>41.1</v>
      </c>
      <c r="AN164" s="1">
        <v>700</v>
      </c>
      <c r="AO164" s="1">
        <v>221</v>
      </c>
      <c r="AP164" s="1">
        <v>411</v>
      </c>
      <c r="AQ164">
        <f>AL164/AM164</f>
        <v>0.53771289537712896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8</v>
      </c>
      <c r="BH164" s="1">
        <v>13996.04</v>
      </c>
      <c r="BI164" s="1">
        <v>0</v>
      </c>
      <c r="BJ164" s="1">
        <v>0</v>
      </c>
    </row>
    <row r="165" spans="1:62" x14ac:dyDescent="0.3">
      <c r="A165" s="1">
        <v>1</v>
      </c>
      <c r="B165" s="1">
        <v>164</v>
      </c>
      <c r="C165" s="1" t="s">
        <v>54</v>
      </c>
      <c r="D165">
        <v>0</v>
      </c>
      <c r="E165" s="6">
        <v>43004</v>
      </c>
      <c r="F165" s="1" t="s">
        <v>85</v>
      </c>
      <c r="G165" s="1">
        <v>0</v>
      </c>
      <c r="H165" s="1">
        <v>0</v>
      </c>
      <c r="I165" s="1">
        <v>2</v>
      </c>
      <c r="J165" s="1" t="s">
        <v>191</v>
      </c>
      <c r="K165" s="1">
        <v>21.52</v>
      </c>
      <c r="L165" s="1">
        <v>0</v>
      </c>
      <c r="M165" s="1">
        <v>0</v>
      </c>
      <c r="N165" s="1">
        <v>1</v>
      </c>
      <c r="O165" s="1">
        <v>0</v>
      </c>
      <c r="P165" s="1">
        <v>1</v>
      </c>
      <c r="Q165" s="1">
        <v>1</v>
      </c>
      <c r="R165" s="1">
        <v>1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1</v>
      </c>
      <c r="Y165" s="1">
        <v>0</v>
      </c>
      <c r="Z165" s="1">
        <v>2</v>
      </c>
      <c r="AA165">
        <v>1.048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2</v>
      </c>
      <c r="BE165" s="1">
        <v>0</v>
      </c>
      <c r="BF165" s="1">
        <v>0</v>
      </c>
      <c r="BG165" s="1">
        <v>14</v>
      </c>
      <c r="BH165" s="1">
        <v>20024.669999999998</v>
      </c>
      <c r="BI165" s="1">
        <v>0</v>
      </c>
      <c r="BJ165" s="1">
        <v>0</v>
      </c>
    </row>
    <row r="166" spans="1:62" x14ac:dyDescent="0.3">
      <c r="A166" s="1">
        <v>1</v>
      </c>
      <c r="B166">
        <v>165</v>
      </c>
      <c r="C166" s="1" t="s">
        <v>60</v>
      </c>
      <c r="D166">
        <v>0</v>
      </c>
      <c r="E166" s="6">
        <v>42182</v>
      </c>
      <c r="F166" s="1" t="s">
        <v>56</v>
      </c>
      <c r="G166" s="1">
        <v>0</v>
      </c>
      <c r="H166" s="1">
        <v>0</v>
      </c>
      <c r="I166" s="1">
        <v>2</v>
      </c>
      <c r="J166" s="1" t="s">
        <v>194</v>
      </c>
      <c r="K166" s="1">
        <v>20.2</v>
      </c>
      <c r="L166" s="1">
        <v>0</v>
      </c>
      <c r="M166" s="1">
        <v>0</v>
      </c>
      <c r="N166" s="1">
        <v>1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>
        <v>0</v>
      </c>
      <c r="X166" s="1">
        <v>0</v>
      </c>
      <c r="Y166" s="1">
        <v>1</v>
      </c>
      <c r="Z166" s="1">
        <v>2</v>
      </c>
      <c r="AA166">
        <v>2.0396200000000002</v>
      </c>
      <c r="AB166" s="1">
        <v>9.51</v>
      </c>
      <c r="AC166" s="1">
        <v>21</v>
      </c>
      <c r="AD166">
        <f>AB166*100/AC166</f>
        <v>45.285714285714285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 s="1">
        <v>2</v>
      </c>
      <c r="BE166" s="1">
        <v>0</v>
      </c>
      <c r="BF166" s="1">
        <v>1</v>
      </c>
      <c r="BG166" s="1">
        <v>10</v>
      </c>
      <c r="BH166">
        <f>5677.13+5365+1568+192.5+96+400+120+100+581.98</f>
        <v>14100.61</v>
      </c>
      <c r="BI166" s="1">
        <v>0</v>
      </c>
      <c r="BJ166" s="1">
        <v>1</v>
      </c>
    </row>
    <row r="167" spans="1:62" x14ac:dyDescent="0.3">
      <c r="A167" s="1">
        <v>1</v>
      </c>
      <c r="B167" s="1">
        <v>166</v>
      </c>
      <c r="C167" s="1" t="s">
        <v>60</v>
      </c>
      <c r="D167">
        <v>0</v>
      </c>
      <c r="E167" s="6">
        <v>42907</v>
      </c>
      <c r="F167" s="1" t="s">
        <v>85</v>
      </c>
      <c r="G167" s="1">
        <v>0</v>
      </c>
      <c r="H167" s="1">
        <v>0</v>
      </c>
      <c r="I167" s="1">
        <v>2</v>
      </c>
      <c r="J167" s="1" t="s">
        <v>191</v>
      </c>
      <c r="K167" s="1">
        <v>21.15</v>
      </c>
      <c r="L167" s="1">
        <v>1</v>
      </c>
      <c r="M167" s="1">
        <v>1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1</v>
      </c>
      <c r="AA167">
        <v>2.0537999999999998</v>
      </c>
      <c r="AK167" s="1">
        <v>74.8</v>
      </c>
      <c r="AL167" s="1">
        <v>44.9</v>
      </c>
      <c r="AM167" s="1">
        <v>21.7</v>
      </c>
      <c r="AN167" s="1">
        <v>1496</v>
      </c>
      <c r="AO167" s="1">
        <v>898</v>
      </c>
      <c r="AP167" s="1">
        <v>434</v>
      </c>
      <c r="AQ167">
        <f>AL167/AM167</f>
        <v>2.0691244239631335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10</v>
      </c>
      <c r="BH167" s="1">
        <v>14169.5</v>
      </c>
      <c r="BI167" s="1">
        <v>0</v>
      </c>
      <c r="BJ167" s="1">
        <v>0</v>
      </c>
    </row>
    <row r="168" spans="1:62" x14ac:dyDescent="0.3">
      <c r="A168" s="1">
        <v>1</v>
      </c>
      <c r="B168">
        <v>167</v>
      </c>
      <c r="C168" s="1" t="s">
        <v>96</v>
      </c>
      <c r="D168">
        <v>0</v>
      </c>
      <c r="E168" s="6">
        <v>43107</v>
      </c>
      <c r="F168" s="1" t="s">
        <v>88</v>
      </c>
      <c r="G168" s="1">
        <v>0</v>
      </c>
      <c r="H168" s="1">
        <v>0</v>
      </c>
      <c r="I168" s="1">
        <v>2</v>
      </c>
      <c r="J168" s="1" t="s">
        <v>196</v>
      </c>
      <c r="K168" s="1">
        <v>29.24</v>
      </c>
      <c r="L168" s="1">
        <v>0</v>
      </c>
      <c r="M168" s="1">
        <v>1</v>
      </c>
      <c r="N168" s="1">
        <v>1</v>
      </c>
      <c r="O168" s="1">
        <v>0</v>
      </c>
      <c r="P168" s="1">
        <v>1</v>
      </c>
      <c r="Q168" s="1">
        <v>1</v>
      </c>
      <c r="R168" s="1">
        <v>1</v>
      </c>
      <c r="S168" s="1">
        <v>0</v>
      </c>
      <c r="T168" s="1">
        <v>0</v>
      </c>
      <c r="U168" s="1">
        <v>0</v>
      </c>
      <c r="V168" s="1">
        <v>0</v>
      </c>
      <c r="W168" s="1">
        <v>1</v>
      </c>
      <c r="X168" s="1">
        <v>0</v>
      </c>
      <c r="Y168" s="1">
        <v>0</v>
      </c>
      <c r="Z168" s="1">
        <v>2</v>
      </c>
      <c r="AA168">
        <v>2.0981399999999999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1</v>
      </c>
      <c r="BE168" s="1">
        <v>0</v>
      </c>
      <c r="BF168" s="1">
        <v>0</v>
      </c>
      <c r="BG168" s="1">
        <v>19</v>
      </c>
      <c r="BH168" s="1">
        <v>24205.919999999998</v>
      </c>
      <c r="BI168" s="1">
        <v>0</v>
      </c>
      <c r="BJ168" s="1">
        <v>1</v>
      </c>
    </row>
    <row r="169" spans="1:62" x14ac:dyDescent="0.3">
      <c r="A169" s="1">
        <v>1</v>
      </c>
      <c r="B169" s="1">
        <v>168</v>
      </c>
      <c r="C169" s="1" t="s">
        <v>71</v>
      </c>
      <c r="D169">
        <v>0</v>
      </c>
      <c r="E169" s="6">
        <v>43107</v>
      </c>
      <c r="F169" s="1" t="s">
        <v>93</v>
      </c>
      <c r="G169" s="1">
        <v>0</v>
      </c>
      <c r="H169" s="1">
        <v>0</v>
      </c>
      <c r="I169" s="1">
        <v>2</v>
      </c>
      <c r="J169" s="1" t="s">
        <v>196</v>
      </c>
      <c r="K169" s="1">
        <v>29.24</v>
      </c>
      <c r="L169" s="1">
        <v>0</v>
      </c>
      <c r="M169" s="1">
        <v>1</v>
      </c>
      <c r="N169" s="1">
        <v>0</v>
      </c>
      <c r="O169" s="1">
        <v>0</v>
      </c>
      <c r="P169" s="1">
        <v>1</v>
      </c>
      <c r="Q169" s="1">
        <v>1</v>
      </c>
      <c r="R169" s="1">
        <v>1</v>
      </c>
      <c r="S169" s="1">
        <v>0</v>
      </c>
      <c r="T169" s="1">
        <v>0</v>
      </c>
      <c r="U169" s="1">
        <v>0</v>
      </c>
      <c r="V169" s="1">
        <v>0</v>
      </c>
      <c r="W169" s="1">
        <v>1</v>
      </c>
      <c r="X169" s="1">
        <v>0</v>
      </c>
      <c r="Y169" s="1">
        <v>0</v>
      </c>
      <c r="Z169" s="1">
        <v>2</v>
      </c>
      <c r="AA169">
        <v>0.92416000000000009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2</v>
      </c>
      <c r="BE169" s="1">
        <v>0</v>
      </c>
      <c r="BF169" s="1">
        <v>0</v>
      </c>
      <c r="BG169" s="1">
        <v>18</v>
      </c>
      <c r="BH169" s="1">
        <v>24205.919999999998</v>
      </c>
      <c r="BI169" s="1">
        <v>0</v>
      </c>
      <c r="BJ169" s="1">
        <v>1</v>
      </c>
    </row>
    <row r="170" spans="1:62" x14ac:dyDescent="0.3">
      <c r="A170" s="1">
        <v>2</v>
      </c>
      <c r="B170" s="1">
        <v>169</v>
      </c>
      <c r="C170" s="1" t="s">
        <v>60</v>
      </c>
      <c r="D170">
        <v>0</v>
      </c>
      <c r="E170" s="6">
        <v>42967</v>
      </c>
      <c r="F170" s="1" t="s">
        <v>63</v>
      </c>
      <c r="G170" s="1">
        <v>0</v>
      </c>
      <c r="H170" s="1">
        <v>0</v>
      </c>
      <c r="I170" s="1">
        <v>2</v>
      </c>
      <c r="J170" s="1" t="s">
        <v>192</v>
      </c>
      <c r="K170" s="1">
        <v>32.049999999999997</v>
      </c>
      <c r="L170" s="1">
        <v>0</v>
      </c>
      <c r="M170" s="1">
        <v>1</v>
      </c>
      <c r="N170" s="1">
        <v>1</v>
      </c>
      <c r="O170" s="1">
        <v>0</v>
      </c>
      <c r="P170" s="1">
        <v>1</v>
      </c>
      <c r="Q170" s="1">
        <v>1</v>
      </c>
      <c r="R170" s="1">
        <v>1</v>
      </c>
      <c r="S170" s="1">
        <v>0</v>
      </c>
      <c r="T170" s="1">
        <v>0</v>
      </c>
      <c r="U170" s="1">
        <v>0</v>
      </c>
      <c r="V170" s="1">
        <v>1</v>
      </c>
      <c r="W170" s="1">
        <v>0</v>
      </c>
      <c r="X170" s="1">
        <v>0</v>
      </c>
      <c r="Y170" s="1">
        <v>0</v>
      </c>
      <c r="Z170" s="1">
        <v>2</v>
      </c>
      <c r="AA170">
        <v>1.4211999999999998</v>
      </c>
      <c r="AK170" s="1">
        <v>61.4</v>
      </c>
      <c r="AL170" s="1">
        <v>29.5</v>
      </c>
      <c r="AM170" s="1">
        <v>31.4</v>
      </c>
      <c r="AQ170">
        <f>AL170/AM170</f>
        <v>0.93949044585987262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2</v>
      </c>
      <c r="BE170" s="1">
        <v>0</v>
      </c>
      <c r="BF170" s="1">
        <v>0</v>
      </c>
      <c r="BG170" s="1">
        <v>22</v>
      </c>
      <c r="BH170" s="1">
        <v>24050.83</v>
      </c>
      <c r="BI170" s="1">
        <v>0</v>
      </c>
      <c r="BJ170" s="1">
        <v>0</v>
      </c>
    </row>
    <row r="171" spans="1:62" x14ac:dyDescent="0.3">
      <c r="A171" s="1">
        <v>1</v>
      </c>
      <c r="B171">
        <v>170</v>
      </c>
      <c r="C171" s="1" t="s">
        <v>54</v>
      </c>
      <c r="D171">
        <v>0</v>
      </c>
      <c r="E171" s="6">
        <v>43232</v>
      </c>
      <c r="F171" s="1" t="s">
        <v>103</v>
      </c>
      <c r="G171" s="1">
        <v>0</v>
      </c>
      <c r="H171" s="1">
        <v>0</v>
      </c>
      <c r="I171" s="1">
        <v>1</v>
      </c>
      <c r="J171" s="1" t="s">
        <v>191</v>
      </c>
      <c r="K171" s="1">
        <v>19.440000000000001</v>
      </c>
      <c r="L171" s="1">
        <v>2</v>
      </c>
      <c r="M171" s="1">
        <v>1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1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2</v>
      </c>
      <c r="AA171">
        <v>0.67183999999999999</v>
      </c>
      <c r="AE171" s="1">
        <v>5</v>
      </c>
      <c r="AF171" s="1">
        <v>1547</v>
      </c>
      <c r="AG171" s="1">
        <v>3.04</v>
      </c>
      <c r="AH171" s="1">
        <v>320</v>
      </c>
      <c r="AI171" s="1">
        <v>5</v>
      </c>
      <c r="AJ171" s="1">
        <v>9.8699999999999992</v>
      </c>
      <c r="AK171" s="1">
        <v>64.400000000000006</v>
      </c>
      <c r="AL171" s="1">
        <v>44.7</v>
      </c>
      <c r="AM171" s="1">
        <v>19.2</v>
      </c>
      <c r="AN171" s="1">
        <v>605</v>
      </c>
      <c r="AO171" s="1">
        <v>420</v>
      </c>
      <c r="AP171" s="1">
        <v>180</v>
      </c>
      <c r="AQ171">
        <f>AL171/AM171</f>
        <v>2.3281250000000004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1</v>
      </c>
      <c r="BE171" s="1">
        <v>0</v>
      </c>
      <c r="BF171" s="1">
        <v>0</v>
      </c>
      <c r="BG171" s="1">
        <v>6</v>
      </c>
      <c r="BH171" s="1">
        <v>14359</v>
      </c>
      <c r="BI171" s="1">
        <v>1</v>
      </c>
      <c r="BJ171" s="1">
        <v>1</v>
      </c>
    </row>
    <row r="172" spans="1:62" x14ac:dyDescent="0.3">
      <c r="A172" s="1">
        <v>1</v>
      </c>
      <c r="B172" s="1">
        <v>171</v>
      </c>
      <c r="C172" s="1" t="s">
        <v>54</v>
      </c>
      <c r="D172">
        <v>0</v>
      </c>
      <c r="E172" s="6">
        <v>42732</v>
      </c>
      <c r="F172" s="1" t="s">
        <v>56</v>
      </c>
      <c r="G172" s="1">
        <v>0</v>
      </c>
      <c r="H172" s="1">
        <v>1</v>
      </c>
      <c r="I172" s="1">
        <v>2</v>
      </c>
      <c r="J172" s="1" t="s">
        <v>190</v>
      </c>
      <c r="K172" s="1">
        <v>21.8</v>
      </c>
      <c r="L172" s="1">
        <v>1</v>
      </c>
      <c r="M172" s="1">
        <v>0</v>
      </c>
      <c r="N172" s="1">
        <v>0</v>
      </c>
      <c r="O172" s="1">
        <v>0</v>
      </c>
      <c r="P172" s="1">
        <v>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1</v>
      </c>
      <c r="X172" s="1">
        <v>0</v>
      </c>
      <c r="Y172" s="1">
        <v>0</v>
      </c>
      <c r="Z172" s="1">
        <v>2</v>
      </c>
      <c r="AA172">
        <v>1.0703</v>
      </c>
      <c r="AB172" s="1">
        <v>11.51</v>
      </c>
      <c r="AC172" s="1">
        <v>21</v>
      </c>
      <c r="AD172">
        <f>AB172*100/AC172</f>
        <v>54.80952380952381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14</v>
      </c>
      <c r="BH172" s="1">
        <v>14442.74</v>
      </c>
      <c r="BI172" s="1">
        <v>0</v>
      </c>
      <c r="BJ172" s="1">
        <v>0</v>
      </c>
    </row>
    <row r="173" spans="1:62" x14ac:dyDescent="0.3">
      <c r="A173" s="1">
        <v>1</v>
      </c>
      <c r="B173">
        <v>172</v>
      </c>
      <c r="C173" s="1" t="s">
        <v>60</v>
      </c>
      <c r="D173">
        <v>0</v>
      </c>
      <c r="E173" s="6">
        <v>43231</v>
      </c>
      <c r="F173" s="1" t="s">
        <v>85</v>
      </c>
      <c r="G173" s="1">
        <v>0</v>
      </c>
      <c r="H173" s="1">
        <v>0</v>
      </c>
      <c r="I173" s="1">
        <v>3</v>
      </c>
      <c r="J173" s="1" t="s">
        <v>190</v>
      </c>
      <c r="K173" s="1">
        <v>23.53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</v>
      </c>
      <c r="AA173">
        <v>3.5385000000000004</v>
      </c>
      <c r="AK173" s="1">
        <v>75.7</v>
      </c>
      <c r="AL173" s="1">
        <v>58.6</v>
      </c>
      <c r="AM173" s="1">
        <v>13.5</v>
      </c>
      <c r="AN173" s="1">
        <v>2650</v>
      </c>
      <c r="AO173" s="1">
        <v>999.99</v>
      </c>
      <c r="AP173" s="1">
        <v>473</v>
      </c>
      <c r="AQ173">
        <f>AL173/AM173</f>
        <v>4.340740740740741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10</v>
      </c>
      <c r="BH173" s="1">
        <v>14490.05</v>
      </c>
      <c r="BI173" s="1">
        <v>0</v>
      </c>
      <c r="BJ173" s="1">
        <v>0</v>
      </c>
    </row>
    <row r="174" spans="1:62" x14ac:dyDescent="0.3">
      <c r="A174" s="1">
        <v>1</v>
      </c>
      <c r="B174" s="1">
        <v>173</v>
      </c>
      <c r="C174" s="1" t="s">
        <v>54</v>
      </c>
      <c r="D174">
        <v>0</v>
      </c>
      <c r="E174" s="6">
        <v>43000</v>
      </c>
      <c r="F174" s="1" t="s">
        <v>85</v>
      </c>
      <c r="G174" s="1">
        <v>0</v>
      </c>
      <c r="H174" s="1">
        <v>0</v>
      </c>
      <c r="I174" s="1">
        <v>3</v>
      </c>
      <c r="J174" s="1" t="s">
        <v>183</v>
      </c>
      <c r="K174" s="1">
        <v>19.809999999999999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</v>
      </c>
      <c r="AA174">
        <v>2.1840000000000002</v>
      </c>
      <c r="AK174" s="1">
        <v>84.6</v>
      </c>
      <c r="AL174" s="1">
        <v>57</v>
      </c>
      <c r="AM174" s="1">
        <v>22.2</v>
      </c>
      <c r="AN174" s="1">
        <v>1700</v>
      </c>
      <c r="AO174" s="1">
        <v>114.6</v>
      </c>
      <c r="AP174" s="1">
        <v>446</v>
      </c>
      <c r="AQ174">
        <f>AL174/AM174</f>
        <v>2.5675675675675675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8</v>
      </c>
      <c r="BH174" s="1">
        <v>14573.45</v>
      </c>
      <c r="BI174" s="1">
        <v>0</v>
      </c>
      <c r="BJ174" s="1">
        <v>0</v>
      </c>
    </row>
    <row r="175" spans="1:62" x14ac:dyDescent="0.3">
      <c r="A175" s="1">
        <v>1</v>
      </c>
      <c r="B175" s="1">
        <v>174</v>
      </c>
      <c r="C175" s="1" t="s">
        <v>71</v>
      </c>
      <c r="D175">
        <v>0</v>
      </c>
      <c r="E175" s="6">
        <v>43148</v>
      </c>
      <c r="F175" s="1" t="s">
        <v>59</v>
      </c>
      <c r="G175" s="1">
        <v>0</v>
      </c>
      <c r="H175" s="1">
        <v>0</v>
      </c>
      <c r="I175" s="1">
        <v>3</v>
      </c>
      <c r="J175" s="1" t="s">
        <v>197</v>
      </c>
      <c r="K175" s="1">
        <v>25.71</v>
      </c>
      <c r="L175" s="1">
        <v>0</v>
      </c>
      <c r="M175" s="1">
        <v>1</v>
      </c>
      <c r="N175" s="1">
        <v>0</v>
      </c>
      <c r="O175" s="1">
        <v>0</v>
      </c>
      <c r="P175" s="1">
        <v>1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1">
        <v>0</v>
      </c>
      <c r="Z175" s="1">
        <v>2</v>
      </c>
      <c r="AA175">
        <v>0.54809999999999992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2</v>
      </c>
      <c r="BE175" s="1">
        <v>0</v>
      </c>
      <c r="BF175" s="1">
        <v>0</v>
      </c>
      <c r="BG175" s="1">
        <v>5</v>
      </c>
      <c r="BH175" s="1">
        <v>9370.19</v>
      </c>
      <c r="BI175" s="1">
        <v>1</v>
      </c>
      <c r="BJ175" s="1">
        <v>0</v>
      </c>
    </row>
    <row r="176" spans="1:62" x14ac:dyDescent="0.3">
      <c r="A176" s="1">
        <v>1</v>
      </c>
      <c r="B176">
        <v>175</v>
      </c>
      <c r="C176" s="1" t="s">
        <v>54</v>
      </c>
      <c r="D176">
        <v>0</v>
      </c>
      <c r="E176" s="6">
        <v>43094</v>
      </c>
      <c r="F176" s="1" t="s">
        <v>53</v>
      </c>
      <c r="G176" s="1">
        <v>0</v>
      </c>
      <c r="H176" s="1">
        <v>0</v>
      </c>
      <c r="I176" s="1">
        <v>2</v>
      </c>
      <c r="J176" s="1" t="s">
        <v>194</v>
      </c>
      <c r="K176" s="1">
        <v>16.71</v>
      </c>
      <c r="L176" s="1">
        <v>1</v>
      </c>
      <c r="M176" s="1">
        <v>1</v>
      </c>
      <c r="N176" s="1">
        <v>1</v>
      </c>
      <c r="O176" s="1">
        <v>1</v>
      </c>
      <c r="P176" s="1">
        <v>0</v>
      </c>
      <c r="Q176" s="1">
        <v>0</v>
      </c>
      <c r="R176" s="1">
        <v>0</v>
      </c>
      <c r="S176" s="1">
        <v>0</v>
      </c>
      <c r="T176" s="1">
        <v>1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2</v>
      </c>
      <c r="AA176">
        <v>1.1910000000000001</v>
      </c>
      <c r="AB176" s="1">
        <v>11.8</v>
      </c>
      <c r="AC176" s="1">
        <v>21</v>
      </c>
      <c r="AD176">
        <f>AB176*100/AC176</f>
        <v>56.19047619047619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2</v>
      </c>
      <c r="BE176" s="1">
        <v>0</v>
      </c>
      <c r="BF176" s="1">
        <v>0</v>
      </c>
      <c r="BG176" s="1">
        <v>9</v>
      </c>
      <c r="BH176" s="1">
        <v>14667.79</v>
      </c>
      <c r="BI176" s="1">
        <v>0</v>
      </c>
      <c r="BJ176" s="1">
        <v>0</v>
      </c>
    </row>
    <row r="177" spans="1:62" x14ac:dyDescent="0.3">
      <c r="A177" s="1">
        <v>1</v>
      </c>
      <c r="B177" s="1">
        <v>176</v>
      </c>
      <c r="C177" s="1" t="s">
        <v>71</v>
      </c>
      <c r="D177">
        <v>0</v>
      </c>
      <c r="E177" s="6">
        <v>43074</v>
      </c>
      <c r="F177" s="1" t="s">
        <v>64</v>
      </c>
      <c r="G177" s="1">
        <v>0</v>
      </c>
      <c r="H177" s="1">
        <v>0</v>
      </c>
      <c r="I177" s="1">
        <v>2</v>
      </c>
      <c r="J177" s="1" t="s">
        <v>193</v>
      </c>
      <c r="K177" s="1">
        <v>25.51</v>
      </c>
      <c r="L177" s="1">
        <v>0</v>
      </c>
      <c r="M177" s="1">
        <v>1</v>
      </c>
      <c r="N177" s="1">
        <v>1</v>
      </c>
      <c r="O177" s="1">
        <v>0</v>
      </c>
      <c r="P177" s="1">
        <v>1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2</v>
      </c>
      <c r="AA177">
        <v>1.0920000000000001</v>
      </c>
      <c r="AR177" s="1">
        <v>1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1</v>
      </c>
      <c r="BB177" s="1">
        <v>0</v>
      </c>
      <c r="BC177" s="1">
        <v>0</v>
      </c>
      <c r="BD177" s="1">
        <v>1</v>
      </c>
      <c r="BE177" s="1">
        <v>0</v>
      </c>
      <c r="BF177" s="1">
        <v>0</v>
      </c>
      <c r="BG177" s="1">
        <v>14</v>
      </c>
      <c r="BH177" s="1">
        <v>14834.07</v>
      </c>
      <c r="BI177" s="1">
        <v>1</v>
      </c>
      <c r="BJ177" s="1">
        <v>0</v>
      </c>
    </row>
    <row r="178" spans="1:62" x14ac:dyDescent="0.3">
      <c r="A178" s="1">
        <v>1</v>
      </c>
      <c r="B178">
        <v>177</v>
      </c>
      <c r="C178" s="1" t="s">
        <v>69</v>
      </c>
      <c r="D178">
        <v>0</v>
      </c>
      <c r="E178" s="6">
        <v>43174</v>
      </c>
      <c r="F178" s="1" t="s">
        <v>52</v>
      </c>
      <c r="G178" s="1">
        <v>0</v>
      </c>
      <c r="H178" s="1">
        <v>1</v>
      </c>
      <c r="I178" s="1">
        <v>2</v>
      </c>
      <c r="J178" s="1" t="s">
        <v>196</v>
      </c>
      <c r="K178" s="1">
        <v>23.44</v>
      </c>
      <c r="L178" s="1">
        <v>0</v>
      </c>
      <c r="M178" s="1">
        <v>1</v>
      </c>
      <c r="N178" s="1">
        <v>1</v>
      </c>
      <c r="O178" s="1">
        <v>1</v>
      </c>
      <c r="P178" s="1">
        <v>0</v>
      </c>
      <c r="Q178" s="1">
        <v>1</v>
      </c>
      <c r="R178" s="1">
        <v>1</v>
      </c>
      <c r="S178" s="1">
        <v>0</v>
      </c>
      <c r="T178" s="1">
        <v>1</v>
      </c>
      <c r="U178" s="1">
        <v>0</v>
      </c>
      <c r="V178" s="1">
        <v>1</v>
      </c>
      <c r="W178" s="1">
        <v>0</v>
      </c>
      <c r="X178" s="1">
        <v>0</v>
      </c>
      <c r="Y178" s="1">
        <v>0</v>
      </c>
      <c r="Z178" s="1">
        <v>2</v>
      </c>
      <c r="AA178">
        <v>2.1086999999999998</v>
      </c>
      <c r="AB178" s="1">
        <v>12.17</v>
      </c>
      <c r="AC178" s="1">
        <v>40</v>
      </c>
      <c r="AD178">
        <f>AB178*100/AC178</f>
        <v>30.425000000000001</v>
      </c>
      <c r="AE178" s="1">
        <v>5</v>
      </c>
      <c r="AF178" s="1">
        <v>673</v>
      </c>
      <c r="AG178" s="1">
        <v>73.400000000000006</v>
      </c>
      <c r="AH178" s="1">
        <v>51.7</v>
      </c>
      <c r="AI178" s="1">
        <v>5</v>
      </c>
      <c r="AJ178" s="1">
        <v>4.58</v>
      </c>
      <c r="AK178" s="1">
        <v>63.8</v>
      </c>
      <c r="AL178" s="1">
        <v>37.299999999999997</v>
      </c>
      <c r="AM178" s="1">
        <v>26.3</v>
      </c>
      <c r="AN178" s="1">
        <v>1346</v>
      </c>
      <c r="AO178" s="1">
        <v>787</v>
      </c>
      <c r="AP178" s="1">
        <v>555</v>
      </c>
      <c r="AQ178">
        <f>AL178/AM178</f>
        <v>1.418250950570342</v>
      </c>
      <c r="AR178" s="1">
        <v>1</v>
      </c>
      <c r="AS178" s="1">
        <v>1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1</v>
      </c>
      <c r="AZ178" s="1">
        <v>0</v>
      </c>
      <c r="BA178" s="1">
        <v>0</v>
      </c>
      <c r="BB178" s="1">
        <v>0</v>
      </c>
      <c r="BC178" s="1">
        <v>0</v>
      </c>
      <c r="BD178" s="1">
        <v>3</v>
      </c>
      <c r="BE178" s="1">
        <v>1</v>
      </c>
      <c r="BF178" s="1">
        <v>1</v>
      </c>
      <c r="BG178" s="1">
        <v>15</v>
      </c>
      <c r="BH178" s="1">
        <v>48193.04</v>
      </c>
      <c r="BI178" s="1">
        <v>1</v>
      </c>
      <c r="BJ178" s="1">
        <v>1</v>
      </c>
    </row>
    <row r="179" spans="1:62" x14ac:dyDescent="0.3">
      <c r="A179">
        <v>1</v>
      </c>
      <c r="B179" s="1">
        <v>178</v>
      </c>
      <c r="C179" t="s">
        <v>73</v>
      </c>
      <c r="D179">
        <v>0</v>
      </c>
      <c r="E179" s="2" t="s">
        <v>153</v>
      </c>
      <c r="F179" s="4" t="s">
        <v>53</v>
      </c>
      <c r="G179" s="1">
        <v>0</v>
      </c>
      <c r="H179" s="1">
        <v>0</v>
      </c>
      <c r="I179" s="1">
        <v>2</v>
      </c>
      <c r="J179" s="1" t="s">
        <v>192</v>
      </c>
      <c r="K179" s="1">
        <v>27.34</v>
      </c>
      <c r="L179" s="1">
        <v>2</v>
      </c>
      <c r="M179" s="1">
        <v>1</v>
      </c>
      <c r="N179" s="1">
        <v>1</v>
      </c>
      <c r="O179" s="1">
        <v>1</v>
      </c>
      <c r="P179" s="1">
        <v>1</v>
      </c>
      <c r="Q179" s="1">
        <v>0</v>
      </c>
      <c r="R179" s="1">
        <v>0</v>
      </c>
      <c r="S179" s="1">
        <v>0</v>
      </c>
      <c r="T179" s="1">
        <v>1</v>
      </c>
      <c r="U179" s="1">
        <v>0</v>
      </c>
      <c r="V179" s="1">
        <v>1</v>
      </c>
      <c r="W179" s="1">
        <v>0</v>
      </c>
      <c r="X179" s="1">
        <v>0</v>
      </c>
      <c r="Y179" s="1">
        <v>0</v>
      </c>
      <c r="Z179" s="1">
        <v>1</v>
      </c>
      <c r="AA179" s="1">
        <v>1.9</v>
      </c>
      <c r="AB179" s="1">
        <v>16.97</v>
      </c>
      <c r="AC179" s="1">
        <v>33</v>
      </c>
      <c r="AD179">
        <f>AB179*100/AC179</f>
        <v>51.424242424242422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1</v>
      </c>
      <c r="BE179" s="1">
        <v>0</v>
      </c>
      <c r="BF179" s="1">
        <v>0</v>
      </c>
      <c r="BG179" s="1">
        <v>9</v>
      </c>
      <c r="BH179">
        <f>7081.54+5000+680+241+432+522+468+450+31.5</f>
        <v>14906.04</v>
      </c>
      <c r="BI179" s="1">
        <v>0</v>
      </c>
      <c r="BJ179" s="1">
        <v>1</v>
      </c>
    </row>
    <row r="180" spans="1:62" x14ac:dyDescent="0.3">
      <c r="A180">
        <v>1</v>
      </c>
      <c r="B180" s="1">
        <v>179</v>
      </c>
      <c r="C180" t="s">
        <v>54</v>
      </c>
      <c r="D180">
        <v>0</v>
      </c>
      <c r="E180" s="2">
        <v>43489</v>
      </c>
      <c r="F180" t="s">
        <v>53</v>
      </c>
      <c r="G180" s="1">
        <v>1</v>
      </c>
      <c r="H180" s="1">
        <v>1</v>
      </c>
      <c r="I180" s="1">
        <v>2</v>
      </c>
      <c r="J180" s="1" t="s">
        <v>191</v>
      </c>
      <c r="K180" s="1">
        <v>13.22</v>
      </c>
      <c r="L180" s="1">
        <v>0</v>
      </c>
      <c r="M180" s="1">
        <v>1</v>
      </c>
      <c r="N180" s="1">
        <v>1</v>
      </c>
      <c r="O180" s="1">
        <v>0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2</v>
      </c>
      <c r="AA180" s="1">
        <v>0.63</v>
      </c>
      <c r="AB180" s="1">
        <v>8.66</v>
      </c>
      <c r="AC180" s="1">
        <v>41</v>
      </c>
      <c r="AD180">
        <f>AB180*100/AC180</f>
        <v>21.121951219512194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2</v>
      </c>
      <c r="BE180" s="1">
        <v>1</v>
      </c>
      <c r="BF180" s="1">
        <v>0</v>
      </c>
      <c r="BG180" s="1">
        <v>7</v>
      </c>
      <c r="BH180">
        <f>6812.66+844.2+4209+1030+278+288+406+734+350+106.27</f>
        <v>15058.130000000001</v>
      </c>
      <c r="BI180" s="1">
        <v>0</v>
      </c>
      <c r="BJ180" s="1">
        <v>0</v>
      </c>
    </row>
    <row r="181" spans="1:62" x14ac:dyDescent="0.3">
      <c r="A181">
        <v>1</v>
      </c>
      <c r="B181">
        <v>180</v>
      </c>
      <c r="C181" t="s">
        <v>57</v>
      </c>
      <c r="D181">
        <v>0</v>
      </c>
      <c r="E181" s="2">
        <v>43529</v>
      </c>
      <c r="F181" t="s">
        <v>121</v>
      </c>
      <c r="G181" s="1">
        <v>0</v>
      </c>
      <c r="H181" s="1">
        <v>0</v>
      </c>
      <c r="I181" s="1">
        <v>2</v>
      </c>
      <c r="J181" s="1" t="s">
        <v>193</v>
      </c>
      <c r="K181" s="1">
        <v>28.7</v>
      </c>
      <c r="L181" s="1">
        <v>0</v>
      </c>
      <c r="M181" s="1">
        <v>1</v>
      </c>
      <c r="N181" s="1">
        <v>1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2</v>
      </c>
      <c r="AA181" s="1">
        <v>1.51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1</v>
      </c>
      <c r="BE181" s="1">
        <v>0</v>
      </c>
      <c r="BF181" s="1">
        <v>0</v>
      </c>
      <c r="BG181" s="1">
        <v>17</v>
      </c>
      <c r="BH181">
        <f>3062.24+128.68+5270+2659+264+427.5+1650+693+825+136.5</f>
        <v>15115.92</v>
      </c>
      <c r="BI181" s="1">
        <v>0</v>
      </c>
      <c r="BJ181" s="1">
        <v>0</v>
      </c>
    </row>
    <row r="182" spans="1:62" x14ac:dyDescent="0.3">
      <c r="A182" s="1">
        <v>1</v>
      </c>
      <c r="B182" s="1">
        <v>181</v>
      </c>
      <c r="C182" s="1" t="s">
        <v>60</v>
      </c>
      <c r="D182">
        <v>0</v>
      </c>
      <c r="E182" s="6">
        <v>43182</v>
      </c>
      <c r="F182" s="1" t="s">
        <v>103</v>
      </c>
      <c r="G182" s="1">
        <v>0</v>
      </c>
      <c r="H182" s="1">
        <v>0</v>
      </c>
      <c r="I182" s="1">
        <v>2</v>
      </c>
      <c r="J182" s="1" t="s">
        <v>189</v>
      </c>
      <c r="K182" s="1">
        <v>27.55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2</v>
      </c>
      <c r="AA182">
        <v>1.3596000000000001</v>
      </c>
      <c r="AE182" s="1">
        <v>5</v>
      </c>
      <c r="AF182" s="1">
        <v>365</v>
      </c>
      <c r="AG182" s="1">
        <v>2.83</v>
      </c>
      <c r="AH182" s="1">
        <v>339</v>
      </c>
      <c r="AI182" s="1">
        <v>5</v>
      </c>
      <c r="AJ182" s="1">
        <v>14.8</v>
      </c>
      <c r="AK182" s="1">
        <v>66.400000000000006</v>
      </c>
      <c r="AL182" s="1">
        <v>35.299999999999997</v>
      </c>
      <c r="AM182" s="1">
        <v>30.2</v>
      </c>
      <c r="AN182" s="1">
        <v>983</v>
      </c>
      <c r="AO182" s="1">
        <v>522</v>
      </c>
      <c r="AP182" s="1">
        <v>447</v>
      </c>
      <c r="AQ182">
        <f>AL182/AM182</f>
        <v>1.1688741721854303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6</v>
      </c>
      <c r="BH182" s="1">
        <v>15255.51</v>
      </c>
      <c r="BI182" s="1">
        <v>0</v>
      </c>
      <c r="BJ182" s="1">
        <v>0</v>
      </c>
    </row>
    <row r="183" spans="1:62" x14ac:dyDescent="0.3">
      <c r="A183">
        <v>1</v>
      </c>
      <c r="B183">
        <v>182</v>
      </c>
      <c r="C183" s="1" t="s">
        <v>60</v>
      </c>
      <c r="D183">
        <v>0</v>
      </c>
      <c r="E183" s="2">
        <v>43498</v>
      </c>
      <c r="F183" t="s">
        <v>61</v>
      </c>
      <c r="G183" s="1">
        <v>1</v>
      </c>
      <c r="H183" s="1">
        <v>1</v>
      </c>
      <c r="I183" s="1">
        <v>2</v>
      </c>
      <c r="J183" s="1" t="s">
        <v>193</v>
      </c>
      <c r="K183" s="1">
        <v>29.41</v>
      </c>
      <c r="L183" s="1">
        <v>1</v>
      </c>
      <c r="M183" s="1">
        <v>0</v>
      </c>
      <c r="N183" s="1">
        <v>0</v>
      </c>
      <c r="O183" s="1">
        <v>1</v>
      </c>
      <c r="P183" s="1">
        <v>1</v>
      </c>
      <c r="Q183" s="1">
        <v>1</v>
      </c>
      <c r="R183" s="1">
        <v>1</v>
      </c>
      <c r="S183" s="1">
        <v>0</v>
      </c>
      <c r="T183" s="1">
        <v>1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2</v>
      </c>
      <c r="AA183" s="1">
        <v>0.74</v>
      </c>
      <c r="AB183" s="1">
        <v>12.89</v>
      </c>
      <c r="AC183" s="1">
        <v>61</v>
      </c>
      <c r="AD183">
        <f>AB183*100/AC183</f>
        <v>21.131147540983605</v>
      </c>
      <c r="AK183">
        <v>70.599999999999994</v>
      </c>
      <c r="AL183">
        <v>49.1</v>
      </c>
      <c r="AM183">
        <v>21.4</v>
      </c>
      <c r="AQ183">
        <f>AL183/AM183</f>
        <v>2.2943925233644862</v>
      </c>
      <c r="AR183">
        <v>1</v>
      </c>
      <c r="AS183">
        <v>0</v>
      </c>
      <c r="AT183">
        <v>1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2</v>
      </c>
      <c r="BE183" s="1">
        <v>2</v>
      </c>
      <c r="BF183" s="1">
        <v>1</v>
      </c>
      <c r="BG183" s="1">
        <v>10</v>
      </c>
      <c r="BH183">
        <f>45211.54+402+23115+2301+490+3531+50+420+792+3420+905+2168.91</f>
        <v>82806.450000000012</v>
      </c>
      <c r="BI183" s="1">
        <v>1</v>
      </c>
      <c r="BJ183" s="1">
        <v>1</v>
      </c>
    </row>
    <row r="184" spans="1:62" x14ac:dyDescent="0.3">
      <c r="A184" s="1">
        <v>1</v>
      </c>
      <c r="B184" s="1">
        <v>183</v>
      </c>
      <c r="C184" s="1" t="s">
        <v>54</v>
      </c>
      <c r="D184">
        <v>0</v>
      </c>
      <c r="E184" s="6">
        <v>42161</v>
      </c>
      <c r="F184" s="1" t="s">
        <v>56</v>
      </c>
      <c r="G184" s="1">
        <v>0</v>
      </c>
      <c r="H184" s="1">
        <v>0</v>
      </c>
      <c r="I184" s="1">
        <v>2</v>
      </c>
      <c r="J184" s="1" t="s">
        <v>194</v>
      </c>
      <c r="K184" s="1">
        <v>22.95</v>
      </c>
      <c r="L184" s="1">
        <v>0</v>
      </c>
      <c r="M184" s="1">
        <v>1</v>
      </c>
      <c r="N184" s="1">
        <v>1</v>
      </c>
      <c r="O184" s="1">
        <v>0</v>
      </c>
      <c r="P184" s="1">
        <v>1</v>
      </c>
      <c r="Q184" s="1">
        <v>1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2</v>
      </c>
      <c r="AA184">
        <v>2.9891999999999994</v>
      </c>
      <c r="AB184" s="1">
        <v>7.39</v>
      </c>
      <c r="AC184" s="1">
        <v>21</v>
      </c>
      <c r="AD184">
        <f>AB184*100/AC184</f>
        <v>35.19047619047619</v>
      </c>
      <c r="AK184" s="1">
        <v>70.3</v>
      </c>
      <c r="AL184" s="1">
        <v>45.3</v>
      </c>
      <c r="AM184" s="1">
        <v>24.4</v>
      </c>
      <c r="AQ184">
        <f>AL184/AM184</f>
        <v>1.8565573770491803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1</v>
      </c>
      <c r="BD184" s="1">
        <v>1</v>
      </c>
      <c r="BE184" s="1">
        <v>0</v>
      </c>
      <c r="BF184" s="1">
        <v>0</v>
      </c>
      <c r="BG184" s="1">
        <v>10</v>
      </c>
      <c r="BH184" s="1">
        <v>9374.4599999999991</v>
      </c>
      <c r="BI184" s="1">
        <v>0</v>
      </c>
      <c r="BJ184" s="1">
        <v>0</v>
      </c>
    </row>
    <row r="185" spans="1:62" x14ac:dyDescent="0.3">
      <c r="A185" s="1">
        <v>1</v>
      </c>
      <c r="B185" s="1">
        <v>184</v>
      </c>
      <c r="C185" s="1" t="s">
        <v>75</v>
      </c>
      <c r="D185">
        <v>0</v>
      </c>
      <c r="E185" s="6">
        <v>43092</v>
      </c>
      <c r="F185" s="1" t="s">
        <v>85</v>
      </c>
      <c r="G185" s="1">
        <v>0</v>
      </c>
      <c r="H185" s="1">
        <v>0</v>
      </c>
      <c r="I185" s="1">
        <v>1</v>
      </c>
      <c r="J185" s="1" t="s">
        <v>182</v>
      </c>
      <c r="K185" s="1">
        <v>21.94</v>
      </c>
      <c r="L185" s="1">
        <v>0</v>
      </c>
      <c r="M185" s="1">
        <v>1</v>
      </c>
      <c r="N185" s="1">
        <v>1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>
        <v>0</v>
      </c>
      <c r="Z185" s="1">
        <v>1</v>
      </c>
      <c r="AA185">
        <v>1.9152</v>
      </c>
      <c r="AN185" s="1">
        <v>1406</v>
      </c>
      <c r="AO185" s="1">
        <v>897</v>
      </c>
      <c r="AP185" s="1">
        <v>386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1</v>
      </c>
      <c r="BG185" s="1">
        <v>11</v>
      </c>
      <c r="BH185" s="1">
        <v>15484.79</v>
      </c>
      <c r="BI185" s="1">
        <v>0</v>
      </c>
      <c r="BJ185" s="1">
        <v>0</v>
      </c>
    </row>
    <row r="186" spans="1:62" x14ac:dyDescent="0.3">
      <c r="A186" s="1">
        <v>1</v>
      </c>
      <c r="B186">
        <v>185</v>
      </c>
      <c r="C186" s="1" t="s">
        <v>51</v>
      </c>
      <c r="D186">
        <v>0</v>
      </c>
      <c r="E186" s="6">
        <v>42613</v>
      </c>
      <c r="F186" s="1" t="s">
        <v>76</v>
      </c>
      <c r="G186" s="1">
        <v>0</v>
      </c>
      <c r="H186" s="1">
        <v>0</v>
      </c>
      <c r="I186" s="1">
        <v>2</v>
      </c>
      <c r="J186" s="1" t="s">
        <v>195</v>
      </c>
      <c r="K186" s="1">
        <v>24.53</v>
      </c>
      <c r="L186" s="1">
        <v>0</v>
      </c>
      <c r="M186" s="1">
        <v>0</v>
      </c>
      <c r="N186" s="1">
        <v>1</v>
      </c>
      <c r="O186" s="1">
        <v>1</v>
      </c>
      <c r="P186" s="1">
        <v>0</v>
      </c>
      <c r="Q186" s="1">
        <v>1</v>
      </c>
      <c r="R186" s="1">
        <v>1</v>
      </c>
      <c r="S186" s="1">
        <v>0</v>
      </c>
      <c r="T186" s="1">
        <v>0</v>
      </c>
      <c r="U186" s="1">
        <v>1</v>
      </c>
      <c r="V186" s="1">
        <v>0</v>
      </c>
      <c r="W186" s="1">
        <v>0</v>
      </c>
      <c r="X186" s="1">
        <v>0</v>
      </c>
      <c r="Y186" s="1">
        <v>0</v>
      </c>
      <c r="Z186" s="1">
        <v>2</v>
      </c>
      <c r="AA186">
        <v>1.0948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3</v>
      </c>
      <c r="BE186" s="1">
        <v>1</v>
      </c>
      <c r="BF186" s="1">
        <v>0</v>
      </c>
      <c r="BG186" s="1">
        <v>21</v>
      </c>
      <c r="BH186" s="1">
        <v>122772.41</v>
      </c>
      <c r="BI186" s="1">
        <v>0</v>
      </c>
      <c r="BJ186" s="1">
        <v>1</v>
      </c>
    </row>
    <row r="187" spans="1:62" x14ac:dyDescent="0.3">
      <c r="A187" s="1">
        <v>1</v>
      </c>
      <c r="B187" s="1">
        <v>186</v>
      </c>
      <c r="C187" s="1" t="s">
        <v>71</v>
      </c>
      <c r="D187">
        <v>0</v>
      </c>
      <c r="E187" s="6">
        <v>43143</v>
      </c>
      <c r="F187" s="1" t="s">
        <v>56</v>
      </c>
      <c r="G187" s="1">
        <v>1</v>
      </c>
      <c r="H187" s="1">
        <v>0</v>
      </c>
      <c r="I187" s="1">
        <v>3</v>
      </c>
      <c r="J187" s="1" t="s">
        <v>188</v>
      </c>
      <c r="K187" s="1">
        <v>28.65</v>
      </c>
      <c r="L187" s="1">
        <v>1</v>
      </c>
      <c r="M187" s="1">
        <v>1</v>
      </c>
      <c r="N187" s="1">
        <v>1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2</v>
      </c>
      <c r="AA187">
        <v>1.13971</v>
      </c>
      <c r="AB187" s="1">
        <v>8.3800000000000008</v>
      </c>
      <c r="AC187" s="1">
        <v>21</v>
      </c>
      <c r="AD187">
        <f>AB187*100/AC187</f>
        <v>39.904761904761912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12</v>
      </c>
      <c r="BH187" s="1">
        <v>15515.53</v>
      </c>
      <c r="BI187" s="1">
        <v>1</v>
      </c>
      <c r="BJ187" s="1">
        <v>0</v>
      </c>
    </row>
    <row r="188" spans="1:62" x14ac:dyDescent="0.3">
      <c r="A188">
        <v>1</v>
      </c>
      <c r="B188">
        <v>187</v>
      </c>
      <c r="C188" t="s">
        <v>140</v>
      </c>
      <c r="D188">
        <v>1</v>
      </c>
      <c r="E188" s="2">
        <v>43507</v>
      </c>
      <c r="F188" t="s">
        <v>53</v>
      </c>
      <c r="G188" s="1">
        <v>0</v>
      </c>
      <c r="H188" s="1">
        <v>0</v>
      </c>
      <c r="I188" s="1">
        <v>2</v>
      </c>
      <c r="J188" s="1" t="s">
        <v>195</v>
      </c>
      <c r="K188" s="1">
        <v>21.48</v>
      </c>
      <c r="L188" s="1">
        <v>2</v>
      </c>
      <c r="M188" s="1">
        <v>1</v>
      </c>
      <c r="N188" s="1">
        <v>1</v>
      </c>
      <c r="O188" s="1">
        <v>1</v>
      </c>
      <c r="P188" s="1">
        <v>0</v>
      </c>
      <c r="Q188" s="1">
        <v>1</v>
      </c>
      <c r="R188" s="1">
        <v>1</v>
      </c>
      <c r="S188" s="1">
        <v>0</v>
      </c>
      <c r="T188" s="1">
        <v>1</v>
      </c>
      <c r="U188" s="1">
        <v>0</v>
      </c>
      <c r="V188" s="1">
        <v>1</v>
      </c>
      <c r="W188" s="1">
        <v>0</v>
      </c>
      <c r="X188" s="1">
        <v>0</v>
      </c>
      <c r="Y188" s="1">
        <v>0</v>
      </c>
      <c r="Z188" s="1">
        <v>2</v>
      </c>
      <c r="AA188" s="1">
        <v>1.28</v>
      </c>
      <c r="AB188" s="1">
        <v>19.68</v>
      </c>
      <c r="AC188" s="1">
        <v>41</v>
      </c>
      <c r="AD188">
        <f>AB188*100/AC188</f>
        <v>48</v>
      </c>
      <c r="AK188">
        <v>73.2</v>
      </c>
      <c r="AL188">
        <v>41.9</v>
      </c>
      <c r="AM188">
        <v>29.2</v>
      </c>
      <c r="AQ188">
        <f>AL188/AM188</f>
        <v>1.4349315068493151</v>
      </c>
      <c r="AR188">
        <v>1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2</v>
      </c>
      <c r="BE188" s="1">
        <v>0</v>
      </c>
      <c r="BF188" s="1">
        <v>0</v>
      </c>
      <c r="BG188" s="1">
        <v>13</v>
      </c>
      <c r="BH188">
        <f>2438.12+5836+550+387+534+754+616+650+31.5</f>
        <v>11796.619999999999</v>
      </c>
      <c r="BI188" s="1">
        <v>0</v>
      </c>
      <c r="BJ188" s="1">
        <v>0</v>
      </c>
    </row>
    <row r="189" spans="1:62" x14ac:dyDescent="0.3">
      <c r="A189" s="1">
        <v>1</v>
      </c>
      <c r="B189" s="1">
        <v>188</v>
      </c>
      <c r="C189" s="1" t="s">
        <v>75</v>
      </c>
      <c r="D189">
        <v>0</v>
      </c>
      <c r="E189" s="6">
        <v>43046</v>
      </c>
      <c r="F189" s="1" t="s">
        <v>85</v>
      </c>
      <c r="G189" s="1">
        <v>0</v>
      </c>
      <c r="H189" s="1">
        <v>0</v>
      </c>
      <c r="I189" s="1">
        <v>1</v>
      </c>
      <c r="J189" s="1" t="s">
        <v>186</v>
      </c>
      <c r="K189" s="1">
        <v>18.04</v>
      </c>
      <c r="L189" s="1">
        <v>0</v>
      </c>
      <c r="M189" s="1">
        <v>0</v>
      </c>
      <c r="N189" s="1">
        <v>1</v>
      </c>
      <c r="O189" s="1">
        <v>0</v>
      </c>
      <c r="P189" s="1">
        <v>0</v>
      </c>
      <c r="Q189" s="1">
        <v>1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1</v>
      </c>
      <c r="Y189" s="1">
        <v>0</v>
      </c>
      <c r="Z189" s="1">
        <v>1</v>
      </c>
      <c r="AA189">
        <v>1.7339999999999998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2</v>
      </c>
      <c r="BE189" s="1">
        <v>0</v>
      </c>
      <c r="BF189" s="1">
        <v>0</v>
      </c>
      <c r="BG189" s="1">
        <v>9</v>
      </c>
      <c r="BH189" s="1">
        <v>24933.58</v>
      </c>
      <c r="BI189" s="1">
        <v>0</v>
      </c>
      <c r="BJ189" s="1">
        <v>0</v>
      </c>
    </row>
    <row r="190" spans="1:62" x14ac:dyDescent="0.3">
      <c r="A190">
        <v>1</v>
      </c>
      <c r="B190" s="1">
        <v>189</v>
      </c>
      <c r="C190" t="s">
        <v>57</v>
      </c>
      <c r="D190">
        <v>0</v>
      </c>
      <c r="E190" s="2">
        <v>43521</v>
      </c>
      <c r="F190" t="s">
        <v>121</v>
      </c>
      <c r="G190" s="1">
        <v>0</v>
      </c>
      <c r="H190" s="1">
        <v>0</v>
      </c>
      <c r="I190" s="1">
        <v>2</v>
      </c>
      <c r="J190" s="1" t="s">
        <v>197</v>
      </c>
      <c r="K190" s="1">
        <v>29.07</v>
      </c>
      <c r="L190" s="1">
        <v>0</v>
      </c>
      <c r="M190" s="1">
        <v>1</v>
      </c>
      <c r="N190" s="1">
        <v>1</v>
      </c>
      <c r="O190" s="1">
        <v>1</v>
      </c>
      <c r="P190" s="1">
        <v>1</v>
      </c>
      <c r="Q190" s="1">
        <v>1</v>
      </c>
      <c r="R190" s="1">
        <v>1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2</v>
      </c>
      <c r="AA190" s="1">
        <v>1.07</v>
      </c>
      <c r="AB190" s="1">
        <v>5.38</v>
      </c>
      <c r="AC190" s="1">
        <v>21</v>
      </c>
      <c r="AD190">
        <f>AB190*100/AC190</f>
        <v>25.61904761904762</v>
      </c>
      <c r="AK190">
        <v>53</v>
      </c>
      <c r="AL190">
        <v>34.6</v>
      </c>
      <c r="AM190">
        <v>18</v>
      </c>
      <c r="AQ190">
        <f>AL190/AM190</f>
        <v>1.9222222222222223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1</v>
      </c>
      <c r="BE190" s="1">
        <v>0</v>
      </c>
      <c r="BF190" s="1">
        <v>0</v>
      </c>
      <c r="BG190" s="1">
        <v>13</v>
      </c>
      <c r="BH190">
        <f>9128.08+503.53+9393+1526+421+350+1250+651+625+65.1</f>
        <v>23912.71</v>
      </c>
      <c r="BI190" s="1">
        <v>0</v>
      </c>
      <c r="BJ190" s="1">
        <v>1</v>
      </c>
    </row>
    <row r="191" spans="1:62" x14ac:dyDescent="0.3">
      <c r="A191">
        <v>1</v>
      </c>
      <c r="B191">
        <v>190</v>
      </c>
      <c r="C191" s="1" t="s">
        <v>137</v>
      </c>
      <c r="D191">
        <v>1</v>
      </c>
      <c r="E191" s="2">
        <v>43474</v>
      </c>
      <c r="F191" t="s">
        <v>138</v>
      </c>
      <c r="G191" s="1">
        <v>0</v>
      </c>
      <c r="H191" s="1">
        <v>0</v>
      </c>
      <c r="I191" s="1">
        <v>3</v>
      </c>
      <c r="J191" s="1" t="s">
        <v>184</v>
      </c>
      <c r="K191" s="1">
        <v>19.57</v>
      </c>
      <c r="L191" s="1">
        <v>0</v>
      </c>
      <c r="M191" s="1">
        <v>1</v>
      </c>
      <c r="N191" s="1">
        <v>0</v>
      </c>
      <c r="O191" s="1">
        <v>0</v>
      </c>
      <c r="P191" s="1">
        <v>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1</v>
      </c>
      <c r="AA191" s="1">
        <v>0.4</v>
      </c>
      <c r="AB191" s="1">
        <v>10.25</v>
      </c>
      <c r="AC191" s="1">
        <v>21</v>
      </c>
      <c r="AD191">
        <f>AB191*100/AC191</f>
        <v>48.80952380952381</v>
      </c>
      <c r="AE191" s="1">
        <v>5</v>
      </c>
      <c r="AF191" s="1">
        <v>522</v>
      </c>
      <c r="AG191" s="1">
        <v>37.299999999999997</v>
      </c>
      <c r="AH191" s="1">
        <v>76.099999999999994</v>
      </c>
      <c r="AI191" s="1">
        <v>10</v>
      </c>
      <c r="AJ191" s="1">
        <v>4.71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1</v>
      </c>
      <c r="BE191" s="1">
        <v>0</v>
      </c>
      <c r="BF191" s="1">
        <v>0</v>
      </c>
      <c r="BG191" s="1">
        <v>8</v>
      </c>
      <c r="BH191">
        <f>4827.51+8553+743+70+200+464+483+400+15.75</f>
        <v>15756.26</v>
      </c>
      <c r="BI191" s="1">
        <v>0</v>
      </c>
      <c r="BJ191" s="1">
        <v>0</v>
      </c>
    </row>
    <row r="192" spans="1:62" x14ac:dyDescent="0.3">
      <c r="A192" s="1">
        <v>1</v>
      </c>
      <c r="B192" s="1">
        <v>191</v>
      </c>
      <c r="C192" s="1" t="s">
        <v>71</v>
      </c>
      <c r="D192">
        <v>0</v>
      </c>
      <c r="E192" s="6">
        <v>42838</v>
      </c>
      <c r="F192" s="1" t="s">
        <v>56</v>
      </c>
      <c r="G192" s="1">
        <v>0</v>
      </c>
      <c r="H192" s="1">
        <v>1</v>
      </c>
      <c r="I192" s="1">
        <v>2</v>
      </c>
      <c r="J192" s="1" t="s">
        <v>192</v>
      </c>
      <c r="K192" s="1">
        <v>20.57</v>
      </c>
      <c r="L192" s="1">
        <v>2</v>
      </c>
      <c r="M192" s="1">
        <v>1</v>
      </c>
      <c r="N192" s="1">
        <v>1</v>
      </c>
      <c r="O192" s="1">
        <v>1</v>
      </c>
      <c r="P192" s="1">
        <v>0</v>
      </c>
      <c r="Q192" s="1">
        <v>0</v>
      </c>
      <c r="R192" s="1">
        <v>0</v>
      </c>
      <c r="S192" s="1">
        <v>0</v>
      </c>
      <c r="T192" s="1">
        <v>1</v>
      </c>
      <c r="U192" s="1">
        <v>0</v>
      </c>
      <c r="V192" s="1">
        <v>0</v>
      </c>
      <c r="W192" s="1">
        <v>0</v>
      </c>
      <c r="X192" s="1">
        <v>0</v>
      </c>
      <c r="Y192" s="1">
        <v>1</v>
      </c>
      <c r="Z192" s="1">
        <v>1</v>
      </c>
      <c r="AA192">
        <v>1.6182000000000003</v>
      </c>
      <c r="AB192" s="1">
        <v>9.8000000000000007</v>
      </c>
      <c r="AC192" s="1">
        <v>21</v>
      </c>
      <c r="AD192">
        <f>AB192*100/AC192</f>
        <v>46.666666666666671</v>
      </c>
      <c r="AK192" s="1">
        <v>67.900000000000006</v>
      </c>
      <c r="AL192" s="1">
        <v>56.9</v>
      </c>
      <c r="AM192" s="1">
        <v>10.7</v>
      </c>
      <c r="AQ192">
        <f>AL192/AM192</f>
        <v>5.3177570093457946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1</v>
      </c>
      <c r="BE192" s="1">
        <v>0</v>
      </c>
      <c r="BF192" s="1">
        <v>0</v>
      </c>
      <c r="BG192" s="1">
        <v>11</v>
      </c>
      <c r="BH192" s="1">
        <v>15941.23</v>
      </c>
      <c r="BI192" s="1">
        <v>0</v>
      </c>
      <c r="BJ192" s="1">
        <v>0</v>
      </c>
    </row>
    <row r="193" spans="1:62" x14ac:dyDescent="0.3">
      <c r="A193" s="1">
        <v>1</v>
      </c>
      <c r="B193">
        <v>192</v>
      </c>
      <c r="C193" s="1" t="s">
        <v>57</v>
      </c>
      <c r="D193">
        <v>0</v>
      </c>
      <c r="E193" s="6">
        <v>42415</v>
      </c>
      <c r="F193" s="1" t="s">
        <v>56</v>
      </c>
      <c r="G193" s="1">
        <v>0</v>
      </c>
      <c r="H193" s="1">
        <v>0</v>
      </c>
      <c r="I193" s="1">
        <v>2</v>
      </c>
      <c r="J193" s="1" t="s">
        <v>193</v>
      </c>
      <c r="K193" s="1">
        <v>24.84</v>
      </c>
      <c r="L193" s="1">
        <v>0</v>
      </c>
      <c r="M193" s="1">
        <v>1</v>
      </c>
      <c r="N193" s="1">
        <v>1</v>
      </c>
      <c r="O193" s="1">
        <v>1</v>
      </c>
      <c r="P193" s="1">
        <v>0</v>
      </c>
      <c r="Q193" s="1">
        <v>0</v>
      </c>
      <c r="R193" s="1">
        <v>1</v>
      </c>
      <c r="S193" s="1">
        <v>1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2</v>
      </c>
      <c r="AA193">
        <v>1.8046500000000001</v>
      </c>
      <c r="AB193" s="1">
        <v>11.41</v>
      </c>
      <c r="AC193" s="1">
        <v>33</v>
      </c>
      <c r="AD193">
        <f>AB193*100/AC193</f>
        <v>34.575757575757578</v>
      </c>
      <c r="AK193" s="1">
        <v>65.099999999999994</v>
      </c>
      <c r="AL193" s="1">
        <v>41.4</v>
      </c>
      <c r="AM193" s="1">
        <v>22.4</v>
      </c>
      <c r="AQ193">
        <f>AL193/AM193</f>
        <v>1.8482142857142858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1</v>
      </c>
      <c r="BE193" s="1">
        <v>0</v>
      </c>
      <c r="BF193" s="1">
        <v>0</v>
      </c>
      <c r="BG193" s="1">
        <v>11</v>
      </c>
      <c r="BH193" s="1">
        <v>16017.51</v>
      </c>
      <c r="BI193" s="1">
        <v>0</v>
      </c>
      <c r="BJ193" s="1">
        <v>1</v>
      </c>
    </row>
    <row r="194" spans="1:62" x14ac:dyDescent="0.3">
      <c r="A194" s="1">
        <v>1</v>
      </c>
      <c r="B194" s="1">
        <v>193</v>
      </c>
      <c r="C194" s="1" t="s">
        <v>54</v>
      </c>
      <c r="D194">
        <v>0</v>
      </c>
      <c r="E194" s="6">
        <v>43057</v>
      </c>
      <c r="F194" s="1" t="s">
        <v>85</v>
      </c>
      <c r="G194" s="1">
        <v>0</v>
      </c>
      <c r="H194" s="1">
        <v>0</v>
      </c>
      <c r="I194" s="1">
        <v>3</v>
      </c>
      <c r="J194" s="1" t="s">
        <v>185</v>
      </c>
      <c r="K194" s="1">
        <v>23.15</v>
      </c>
      <c r="L194" s="1">
        <v>0</v>
      </c>
      <c r="M194" s="1">
        <v>0</v>
      </c>
      <c r="N194" s="1">
        <v>1</v>
      </c>
      <c r="O194" s="1">
        <v>0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1</v>
      </c>
      <c r="Y194" s="1">
        <v>0</v>
      </c>
      <c r="Z194" s="1">
        <v>1</v>
      </c>
      <c r="AA194">
        <v>1.8669000000000002</v>
      </c>
      <c r="AN194" s="1">
        <v>1488</v>
      </c>
      <c r="AO194" s="1">
        <v>106.8</v>
      </c>
      <c r="AP194" s="1">
        <v>371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7</v>
      </c>
      <c r="BH194" s="1">
        <v>16044.36</v>
      </c>
      <c r="BI194" s="1">
        <v>0</v>
      </c>
      <c r="BJ194" s="1">
        <v>0</v>
      </c>
    </row>
    <row r="195" spans="1:62" x14ac:dyDescent="0.3">
      <c r="A195" s="1">
        <v>1</v>
      </c>
      <c r="B195" s="1">
        <v>194</v>
      </c>
      <c r="C195" s="1" t="s">
        <v>54</v>
      </c>
      <c r="D195">
        <v>0</v>
      </c>
      <c r="E195" s="6">
        <v>43193</v>
      </c>
      <c r="F195" s="1" t="s">
        <v>121</v>
      </c>
      <c r="G195" s="1">
        <v>0</v>
      </c>
      <c r="H195" s="1">
        <v>0</v>
      </c>
      <c r="I195" s="1">
        <v>2</v>
      </c>
      <c r="J195" s="1" t="s">
        <v>193</v>
      </c>
      <c r="K195" s="1">
        <v>26.7</v>
      </c>
      <c r="L195" s="1">
        <v>0</v>
      </c>
      <c r="M195" s="1">
        <v>1</v>
      </c>
      <c r="N195" s="1">
        <v>1</v>
      </c>
      <c r="O195" s="1">
        <v>0</v>
      </c>
      <c r="P195" s="1">
        <v>1</v>
      </c>
      <c r="Q195" s="1">
        <v>1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1</v>
      </c>
      <c r="AA195">
        <v>1.2259800000000001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 s="1">
        <v>2</v>
      </c>
      <c r="BE195" s="1">
        <v>0</v>
      </c>
      <c r="BF195" s="1">
        <v>0</v>
      </c>
      <c r="BG195" s="1">
        <v>7</v>
      </c>
      <c r="BH195">
        <f>2096.46+5254+550</f>
        <v>7900.46</v>
      </c>
      <c r="BI195" s="1">
        <v>0</v>
      </c>
      <c r="BJ195" s="1">
        <v>0</v>
      </c>
    </row>
    <row r="196" spans="1:62" x14ac:dyDescent="0.3">
      <c r="A196" s="1">
        <v>1</v>
      </c>
      <c r="B196">
        <v>195</v>
      </c>
      <c r="C196" s="1" t="s">
        <v>87</v>
      </c>
      <c r="D196">
        <v>0</v>
      </c>
      <c r="E196" s="6">
        <v>43112</v>
      </c>
      <c r="F196" s="1" t="s">
        <v>98</v>
      </c>
      <c r="G196" s="1">
        <v>0</v>
      </c>
      <c r="H196" s="1">
        <v>0</v>
      </c>
      <c r="I196" s="1">
        <v>3</v>
      </c>
      <c r="J196" s="1" t="s">
        <v>189</v>
      </c>
      <c r="K196" s="1">
        <v>31.35</v>
      </c>
      <c r="L196" s="1">
        <v>0</v>
      </c>
      <c r="M196" s="1">
        <v>0</v>
      </c>
      <c r="N196" s="1">
        <v>1</v>
      </c>
      <c r="O196" s="1">
        <v>0</v>
      </c>
      <c r="P196" s="1">
        <v>1</v>
      </c>
      <c r="Q196" s="1">
        <v>1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1</v>
      </c>
      <c r="AA196">
        <v>3.3026399999999994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8</v>
      </c>
      <c r="BH196" s="1">
        <v>13982.78</v>
      </c>
      <c r="BI196" s="1">
        <v>0</v>
      </c>
      <c r="BJ196" s="1">
        <v>0</v>
      </c>
    </row>
    <row r="197" spans="1:62" x14ac:dyDescent="0.3">
      <c r="A197">
        <v>2</v>
      </c>
      <c r="B197" s="1">
        <v>196</v>
      </c>
      <c r="C197" s="1" t="s">
        <v>60</v>
      </c>
      <c r="D197">
        <v>0</v>
      </c>
      <c r="E197" s="2">
        <v>43495</v>
      </c>
      <c r="F197" t="s">
        <v>78</v>
      </c>
      <c r="G197" s="1">
        <v>1</v>
      </c>
      <c r="H197" s="1">
        <v>1</v>
      </c>
      <c r="I197" s="1">
        <v>2</v>
      </c>
      <c r="J197" s="1" t="s">
        <v>193</v>
      </c>
      <c r="K197" s="1">
        <v>18.73</v>
      </c>
      <c r="L197" s="1">
        <v>0</v>
      </c>
      <c r="M197" s="1">
        <v>0</v>
      </c>
      <c r="N197" s="1">
        <v>0</v>
      </c>
      <c r="O197" s="1">
        <v>0</v>
      </c>
      <c r="P197" s="1">
        <v>1</v>
      </c>
      <c r="Q197" s="1">
        <v>1</v>
      </c>
      <c r="R197" s="1">
        <v>1</v>
      </c>
      <c r="S197" s="1">
        <v>0</v>
      </c>
      <c r="T197" s="1">
        <v>0</v>
      </c>
      <c r="U197" s="1">
        <v>1</v>
      </c>
      <c r="V197" s="1">
        <v>1</v>
      </c>
      <c r="W197" s="1">
        <v>0</v>
      </c>
      <c r="X197" s="1">
        <v>0</v>
      </c>
      <c r="Y197" s="1">
        <v>0</v>
      </c>
      <c r="Z197" s="1">
        <v>2</v>
      </c>
      <c r="AA197" s="1">
        <v>0.31</v>
      </c>
      <c r="AR197">
        <v>1</v>
      </c>
      <c r="AS197">
        <v>0</v>
      </c>
      <c r="AT197">
        <v>1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5</v>
      </c>
      <c r="BE197" s="1">
        <v>2</v>
      </c>
      <c r="BF197" s="1">
        <v>1</v>
      </c>
      <c r="BG197" s="1">
        <v>29</v>
      </c>
      <c r="BH197">
        <f>73055.82+37509+16440+1540+16076+11910+4180+1538+7995+1870+375+27497.77</f>
        <v>199986.59</v>
      </c>
      <c r="BI197" s="1">
        <v>0</v>
      </c>
      <c r="BJ197" s="1">
        <v>0</v>
      </c>
    </row>
    <row r="198" spans="1:62" x14ac:dyDescent="0.3">
      <c r="A198" s="1">
        <v>1</v>
      </c>
      <c r="B198">
        <v>197</v>
      </c>
      <c r="C198" s="1" t="s">
        <v>57</v>
      </c>
      <c r="D198">
        <v>0</v>
      </c>
      <c r="E198" s="6">
        <v>43226</v>
      </c>
      <c r="F198" s="1" t="s">
        <v>103</v>
      </c>
      <c r="G198" s="1">
        <v>0</v>
      </c>
      <c r="H198" s="1">
        <v>0</v>
      </c>
      <c r="I198" s="1">
        <v>2</v>
      </c>
      <c r="J198" s="1" t="s">
        <v>192</v>
      </c>
      <c r="K198" s="1">
        <v>23.15</v>
      </c>
      <c r="L198" s="1">
        <v>2</v>
      </c>
      <c r="M198" s="1">
        <v>0</v>
      </c>
      <c r="N198" s="1">
        <v>0</v>
      </c>
      <c r="O198" s="1">
        <v>0</v>
      </c>
      <c r="P198" s="1">
        <v>1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2</v>
      </c>
      <c r="AA198">
        <v>0.91310000000000002</v>
      </c>
      <c r="AE198" s="1">
        <v>22.3</v>
      </c>
      <c r="AF198" s="1">
        <v>837</v>
      </c>
      <c r="AG198" s="1">
        <v>16.8</v>
      </c>
      <c r="AH198" s="1">
        <v>29.6</v>
      </c>
      <c r="AI198" s="1">
        <v>13</v>
      </c>
      <c r="AJ198" s="1">
        <v>22.4</v>
      </c>
      <c r="AK198" s="1">
        <v>73.5</v>
      </c>
      <c r="AL198" s="1">
        <v>49.7</v>
      </c>
      <c r="AM198" s="1">
        <v>23.5</v>
      </c>
      <c r="AN198" s="1">
        <v>622</v>
      </c>
      <c r="AO198" s="1">
        <v>447</v>
      </c>
      <c r="AP198" s="1">
        <v>212</v>
      </c>
      <c r="AQ198">
        <f>AL198/AM198</f>
        <v>2.1148936170212767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1</v>
      </c>
      <c r="BE198" s="1">
        <v>0</v>
      </c>
      <c r="BF198" s="1">
        <v>0</v>
      </c>
      <c r="BG198" s="1">
        <v>11</v>
      </c>
      <c r="BH198" s="1">
        <v>16398.12</v>
      </c>
      <c r="BI198" s="1">
        <v>1</v>
      </c>
      <c r="BJ198" s="1">
        <v>0</v>
      </c>
    </row>
    <row r="199" spans="1:62" x14ac:dyDescent="0.3">
      <c r="A199">
        <v>1</v>
      </c>
      <c r="B199" s="1">
        <v>198</v>
      </c>
      <c r="C199" t="s">
        <v>54</v>
      </c>
      <c r="D199">
        <v>0</v>
      </c>
      <c r="E199" s="2" t="s">
        <v>153</v>
      </c>
      <c r="F199" s="4" t="s">
        <v>121</v>
      </c>
      <c r="G199" s="1">
        <v>0</v>
      </c>
      <c r="H199" s="1">
        <v>0</v>
      </c>
      <c r="I199" s="1">
        <v>2</v>
      </c>
      <c r="J199" s="1" t="s">
        <v>196</v>
      </c>
      <c r="K199" s="1">
        <v>25.76</v>
      </c>
      <c r="L199" s="1">
        <v>0</v>
      </c>
      <c r="M199" s="1">
        <v>1</v>
      </c>
      <c r="N199" s="1">
        <v>1</v>
      </c>
      <c r="O199" s="1">
        <v>0</v>
      </c>
      <c r="P199" s="1">
        <v>1</v>
      </c>
      <c r="Q199" s="1">
        <v>1</v>
      </c>
      <c r="R199" s="1"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2</v>
      </c>
      <c r="AA199" s="1">
        <v>1.07</v>
      </c>
      <c r="AB199" s="1">
        <v>12.17</v>
      </c>
      <c r="AC199" s="1">
        <v>21</v>
      </c>
      <c r="AD199">
        <f>AB199*100/AC199</f>
        <v>57.952380952380949</v>
      </c>
      <c r="AK199">
        <v>48.3</v>
      </c>
      <c r="AL199">
        <v>33.700000000000003</v>
      </c>
      <c r="AM199">
        <v>16.5</v>
      </c>
      <c r="AQ199">
        <f>AL199/AM199</f>
        <v>2.0424242424242425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3</v>
      </c>
      <c r="BE199" s="1">
        <v>0</v>
      </c>
      <c r="BF199" s="1">
        <v>0</v>
      </c>
      <c r="BG199" s="1">
        <v>28</v>
      </c>
      <c r="BH199">
        <f>17167.48+1776.24+255.58+13462+4081+4699+324+35+2750+1155+1375+111.09</f>
        <v>47191.39</v>
      </c>
      <c r="BI199" s="1">
        <v>0</v>
      </c>
      <c r="BJ199" s="1">
        <v>0</v>
      </c>
    </row>
    <row r="200" spans="1:62" x14ac:dyDescent="0.3">
      <c r="A200" s="1">
        <v>1</v>
      </c>
      <c r="B200" s="1">
        <v>199</v>
      </c>
      <c r="C200" s="1" t="s">
        <v>100</v>
      </c>
      <c r="D200">
        <v>0</v>
      </c>
      <c r="E200" s="6">
        <v>43135</v>
      </c>
      <c r="F200" s="1" t="s">
        <v>85</v>
      </c>
      <c r="G200" s="1">
        <v>0</v>
      </c>
      <c r="H200" s="1">
        <v>0</v>
      </c>
      <c r="I200" s="1">
        <v>2</v>
      </c>
      <c r="J200" s="1" t="s">
        <v>190</v>
      </c>
      <c r="K200" s="1">
        <v>24.69</v>
      </c>
      <c r="L200" s="1">
        <v>0</v>
      </c>
      <c r="M200" s="1">
        <v>1</v>
      </c>
      <c r="N200" s="1">
        <v>0</v>
      </c>
      <c r="O200" s="1">
        <v>0</v>
      </c>
      <c r="P200" s="1">
        <v>1</v>
      </c>
      <c r="Q200" s="1">
        <v>1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1</v>
      </c>
      <c r="Y200" s="1">
        <v>0</v>
      </c>
      <c r="Z200" s="1">
        <v>2</v>
      </c>
      <c r="AA200">
        <v>0.67435999999999996</v>
      </c>
      <c r="AR200" s="1">
        <v>1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1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8</v>
      </c>
      <c r="BH200" s="1">
        <v>17452.82</v>
      </c>
      <c r="BI200" s="1">
        <v>0</v>
      </c>
      <c r="BJ200" s="1">
        <v>0</v>
      </c>
    </row>
    <row r="201" spans="1:62" x14ac:dyDescent="0.3">
      <c r="A201" s="1">
        <v>1</v>
      </c>
      <c r="B201">
        <v>200</v>
      </c>
      <c r="C201" s="1" t="s">
        <v>60</v>
      </c>
      <c r="D201">
        <v>0</v>
      </c>
      <c r="E201" s="6">
        <v>42814</v>
      </c>
      <c r="F201" s="1" t="s">
        <v>67</v>
      </c>
      <c r="G201" s="1">
        <v>0</v>
      </c>
      <c r="H201" s="1">
        <v>0</v>
      </c>
      <c r="I201" s="1">
        <v>2</v>
      </c>
      <c r="J201" s="1" t="s">
        <v>190</v>
      </c>
      <c r="K201" s="1">
        <v>22.49</v>
      </c>
      <c r="L201" s="1">
        <v>0</v>
      </c>
      <c r="M201" s="1">
        <v>1</v>
      </c>
      <c r="N201" s="1">
        <v>1</v>
      </c>
      <c r="O201" s="1">
        <v>0</v>
      </c>
      <c r="P201" s="1">
        <v>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1</v>
      </c>
      <c r="X201" s="1">
        <v>0</v>
      </c>
      <c r="Y201" s="1">
        <v>0</v>
      </c>
      <c r="Z201" s="1">
        <v>2</v>
      </c>
      <c r="AA201">
        <v>0.75853999999999999</v>
      </c>
      <c r="AE201" s="1">
        <v>5</v>
      </c>
      <c r="AF201" s="1">
        <v>579</v>
      </c>
      <c r="AG201" s="1">
        <v>6.2</v>
      </c>
      <c r="AH201" s="1">
        <v>14.8</v>
      </c>
      <c r="AI201" s="1">
        <v>9.24</v>
      </c>
      <c r="AJ201" s="1">
        <v>8.82</v>
      </c>
      <c r="AK201" s="1">
        <v>67.5</v>
      </c>
      <c r="AL201" s="1">
        <v>35.9</v>
      </c>
      <c r="AM201" s="1">
        <v>19.3</v>
      </c>
      <c r="AN201" s="1">
        <v>513</v>
      </c>
      <c r="AO201" s="1">
        <v>273</v>
      </c>
      <c r="AP201" s="1">
        <v>147</v>
      </c>
      <c r="AQ201">
        <f>AL201/AM201</f>
        <v>1.8601036269430051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7</v>
      </c>
      <c r="BH201" s="1">
        <v>16582.53</v>
      </c>
      <c r="BI201" s="1">
        <v>0</v>
      </c>
      <c r="BJ201" s="1">
        <v>0</v>
      </c>
    </row>
    <row r="202" spans="1:62" x14ac:dyDescent="0.3">
      <c r="A202" s="1">
        <v>1</v>
      </c>
      <c r="B202" s="1">
        <v>201</v>
      </c>
      <c r="C202" s="1" t="s">
        <v>54</v>
      </c>
      <c r="D202">
        <v>0</v>
      </c>
      <c r="E202" s="6">
        <v>42957</v>
      </c>
      <c r="F202" s="1" t="s">
        <v>53</v>
      </c>
      <c r="G202" s="1">
        <v>0</v>
      </c>
      <c r="H202" s="1">
        <v>0</v>
      </c>
      <c r="I202" s="1">
        <v>2</v>
      </c>
      <c r="J202" s="1" t="s">
        <v>194</v>
      </c>
      <c r="K202" s="1">
        <v>28.41</v>
      </c>
      <c r="L202" s="1">
        <v>1</v>
      </c>
      <c r="M202" s="1">
        <v>1</v>
      </c>
      <c r="N202" s="1">
        <v>1</v>
      </c>
      <c r="O202" s="1">
        <v>1</v>
      </c>
      <c r="P202" s="1">
        <v>0</v>
      </c>
      <c r="Q202" s="1">
        <v>1</v>
      </c>
      <c r="R202" s="1">
        <v>0</v>
      </c>
      <c r="S202" s="1">
        <v>0</v>
      </c>
      <c r="T202" s="1">
        <v>1</v>
      </c>
      <c r="U202" s="1">
        <v>0</v>
      </c>
      <c r="V202" s="1">
        <v>1</v>
      </c>
      <c r="W202" s="1">
        <v>0</v>
      </c>
      <c r="X202" s="1">
        <v>0</v>
      </c>
      <c r="Y202" s="1">
        <v>0</v>
      </c>
      <c r="Z202" s="1">
        <v>2</v>
      </c>
      <c r="AA202">
        <v>0.89829999999999999</v>
      </c>
      <c r="AB202" s="1">
        <v>7.97</v>
      </c>
      <c r="AC202" s="1">
        <v>21</v>
      </c>
      <c r="AD202">
        <f>AB202*100/AC202</f>
        <v>37.952380952380949</v>
      </c>
      <c r="AE202" s="1">
        <v>5</v>
      </c>
      <c r="AF202" s="1">
        <v>868</v>
      </c>
      <c r="AG202" s="1">
        <v>5.09</v>
      </c>
      <c r="AH202" s="1">
        <v>23.4</v>
      </c>
      <c r="AI202" s="1">
        <v>5</v>
      </c>
      <c r="AK202" s="1">
        <v>52.6</v>
      </c>
      <c r="AL202" s="1">
        <v>33.799999999999997</v>
      </c>
      <c r="AM202" s="1">
        <v>16.7</v>
      </c>
      <c r="AQ202">
        <f>AL202/AM202</f>
        <v>2.023952095808383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2</v>
      </c>
      <c r="BE202" s="1">
        <v>0</v>
      </c>
      <c r="BF202" s="1">
        <v>0</v>
      </c>
      <c r="BG202" s="1">
        <v>12</v>
      </c>
      <c r="BH202" s="1">
        <v>13458.79</v>
      </c>
      <c r="BI202" s="1">
        <v>0</v>
      </c>
      <c r="BJ202" s="1">
        <v>1</v>
      </c>
    </row>
    <row r="203" spans="1:62" x14ac:dyDescent="0.3">
      <c r="A203" s="1">
        <v>1</v>
      </c>
      <c r="B203">
        <v>202</v>
      </c>
      <c r="C203" s="1" t="s">
        <v>71</v>
      </c>
      <c r="D203">
        <v>0</v>
      </c>
      <c r="E203" s="6">
        <v>43126</v>
      </c>
      <c r="F203" s="1" t="s">
        <v>93</v>
      </c>
      <c r="G203" s="1">
        <v>0</v>
      </c>
      <c r="H203" s="1">
        <v>0</v>
      </c>
      <c r="I203" s="1">
        <v>2</v>
      </c>
      <c r="J203" s="1" t="s">
        <v>191</v>
      </c>
      <c r="K203" s="1">
        <v>28.38</v>
      </c>
      <c r="L203" s="1">
        <v>1</v>
      </c>
      <c r="M203" s="1">
        <v>1</v>
      </c>
      <c r="N203" s="1">
        <v>1</v>
      </c>
      <c r="O203" s="1">
        <v>0</v>
      </c>
      <c r="P203" s="1">
        <v>1</v>
      </c>
      <c r="Q203" s="1">
        <v>1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1</v>
      </c>
      <c r="AA203">
        <v>1.1687599999999998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5</v>
      </c>
      <c r="BH203" s="1">
        <v>10093.15</v>
      </c>
      <c r="BI203" s="1">
        <v>0</v>
      </c>
      <c r="BJ203" s="1">
        <v>0</v>
      </c>
    </row>
    <row r="204" spans="1:62" x14ac:dyDescent="0.3">
      <c r="A204" s="1">
        <v>1</v>
      </c>
      <c r="B204" s="1">
        <v>203</v>
      </c>
      <c r="C204" s="1" t="s">
        <v>91</v>
      </c>
      <c r="D204">
        <v>1</v>
      </c>
      <c r="E204" s="6">
        <v>42934</v>
      </c>
      <c r="F204" s="1" t="s">
        <v>85</v>
      </c>
      <c r="G204" s="1">
        <v>0</v>
      </c>
      <c r="H204" s="1">
        <v>0</v>
      </c>
      <c r="I204" s="1">
        <v>3</v>
      </c>
      <c r="J204" s="1" t="s">
        <v>185</v>
      </c>
      <c r="K204" s="1">
        <v>19.45</v>
      </c>
      <c r="L204" s="1">
        <v>0</v>
      </c>
      <c r="M204" s="1">
        <v>0</v>
      </c>
      <c r="N204" s="1">
        <v>1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2</v>
      </c>
      <c r="AA204">
        <v>1.2144000000000001</v>
      </c>
      <c r="AK204" s="1">
        <v>85.6</v>
      </c>
      <c r="AL204" s="1">
        <v>44.7</v>
      </c>
      <c r="AM204" s="1">
        <v>39.9</v>
      </c>
      <c r="AN204" s="1">
        <v>1027</v>
      </c>
      <c r="AO204" s="1">
        <v>536</v>
      </c>
      <c r="AP204" s="1">
        <v>479</v>
      </c>
      <c r="AQ204">
        <f>AL204/AM204</f>
        <v>1.1203007518796995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13</v>
      </c>
      <c r="BH204" s="1">
        <v>17077.64</v>
      </c>
      <c r="BI204" s="1">
        <v>1</v>
      </c>
      <c r="BJ204" s="1">
        <v>1</v>
      </c>
    </row>
    <row r="205" spans="1:62" x14ac:dyDescent="0.3">
      <c r="A205" s="1">
        <v>1</v>
      </c>
      <c r="B205" s="1">
        <v>204</v>
      </c>
      <c r="C205" s="1" t="s">
        <v>54</v>
      </c>
      <c r="D205">
        <v>0</v>
      </c>
      <c r="E205" s="6">
        <v>42936</v>
      </c>
      <c r="F205" s="1" t="s">
        <v>85</v>
      </c>
      <c r="G205" s="1">
        <v>0</v>
      </c>
      <c r="H205" s="1">
        <v>0</v>
      </c>
      <c r="I205" s="1">
        <v>3</v>
      </c>
      <c r="J205" s="1" t="s">
        <v>182</v>
      </c>
      <c r="K205" s="1">
        <v>18.38</v>
      </c>
      <c r="L205" s="1">
        <v>1</v>
      </c>
      <c r="M205" s="1">
        <v>0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1</v>
      </c>
      <c r="AA205">
        <v>3.0015999999999998</v>
      </c>
      <c r="AK205" s="1">
        <v>72.7</v>
      </c>
      <c r="AL205" s="1">
        <v>46</v>
      </c>
      <c r="AM205" s="1">
        <v>23.1</v>
      </c>
      <c r="AN205" s="1">
        <v>2181</v>
      </c>
      <c r="AO205" s="1">
        <v>138</v>
      </c>
      <c r="AP205" s="1">
        <v>693</v>
      </c>
      <c r="AQ205">
        <f>AL205/AM205</f>
        <v>1.9913419913419912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16</v>
      </c>
      <c r="BH205" s="1">
        <v>17082.57</v>
      </c>
      <c r="BI205" s="1">
        <v>0</v>
      </c>
      <c r="BJ205" s="1">
        <v>0</v>
      </c>
    </row>
    <row r="206" spans="1:62" x14ac:dyDescent="0.3">
      <c r="A206" s="1">
        <v>1</v>
      </c>
      <c r="B206">
        <v>205</v>
      </c>
      <c r="C206" s="1" t="s">
        <v>60</v>
      </c>
      <c r="D206">
        <v>0</v>
      </c>
      <c r="E206" s="6">
        <v>42412</v>
      </c>
      <c r="F206" s="1" t="s">
        <v>70</v>
      </c>
      <c r="G206" s="1">
        <v>0</v>
      </c>
      <c r="H206" s="1">
        <v>1</v>
      </c>
      <c r="I206" s="1">
        <v>3</v>
      </c>
      <c r="J206" s="1" t="s">
        <v>188</v>
      </c>
      <c r="K206" s="1">
        <v>28.09</v>
      </c>
      <c r="L206" s="1">
        <v>1</v>
      </c>
      <c r="M206" s="1">
        <v>1</v>
      </c>
      <c r="N206" s="1">
        <v>0</v>
      </c>
      <c r="O206" s="1">
        <v>1</v>
      </c>
      <c r="P206" s="1">
        <v>1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2</v>
      </c>
      <c r="AA206">
        <v>0.68712000000000006</v>
      </c>
      <c r="AB206" s="1">
        <v>8.74</v>
      </c>
      <c r="AC206" s="1">
        <v>100</v>
      </c>
      <c r="AD206">
        <f t="shared" ref="AD206:AD211" si="2">AB206*100/AC206</f>
        <v>8.74</v>
      </c>
      <c r="AK206" s="1">
        <v>58</v>
      </c>
      <c r="AL206" s="1">
        <v>38.6</v>
      </c>
      <c r="AM206" s="1">
        <v>14.7</v>
      </c>
      <c r="AQ206">
        <f>AL206/AM206</f>
        <v>2.6258503401360547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3</v>
      </c>
      <c r="BF206" s="1">
        <v>1</v>
      </c>
      <c r="BG206" s="1">
        <v>41</v>
      </c>
      <c r="BH206" s="1">
        <v>119887.1</v>
      </c>
      <c r="BI206" s="1">
        <v>1</v>
      </c>
      <c r="BJ206" s="1">
        <v>1</v>
      </c>
    </row>
    <row r="207" spans="1:62" x14ac:dyDescent="0.3">
      <c r="A207" s="1">
        <v>1</v>
      </c>
      <c r="B207" s="1">
        <v>206</v>
      </c>
      <c r="C207" s="1" t="s">
        <v>87</v>
      </c>
      <c r="D207">
        <v>0</v>
      </c>
      <c r="E207" s="6">
        <v>43000</v>
      </c>
      <c r="F207" s="1" t="s">
        <v>61</v>
      </c>
      <c r="G207" s="1">
        <v>0</v>
      </c>
      <c r="H207" s="1">
        <v>1</v>
      </c>
      <c r="I207" s="1">
        <v>2</v>
      </c>
      <c r="J207" s="1" t="s">
        <v>195</v>
      </c>
      <c r="K207" s="1">
        <v>20.76</v>
      </c>
      <c r="L207" s="1">
        <v>0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R207" s="1">
        <v>1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1">
        <v>0</v>
      </c>
      <c r="Z207" s="1">
        <v>1</v>
      </c>
      <c r="AA207">
        <v>1.2315199999999999</v>
      </c>
      <c r="AB207" s="1">
        <v>8.58</v>
      </c>
      <c r="AC207" s="1">
        <v>41</v>
      </c>
      <c r="AD207">
        <f t="shared" si="2"/>
        <v>20.926829268292682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2</v>
      </c>
      <c r="BE207" s="1">
        <v>0</v>
      </c>
      <c r="BF207" s="1">
        <v>1</v>
      </c>
      <c r="BG207" s="1">
        <v>21</v>
      </c>
      <c r="BH207" s="1">
        <v>37837.51</v>
      </c>
      <c r="BI207" s="1">
        <v>0</v>
      </c>
      <c r="BJ207" s="1">
        <v>0</v>
      </c>
    </row>
    <row r="208" spans="1:62" x14ac:dyDescent="0.3">
      <c r="A208" s="1">
        <v>1</v>
      </c>
      <c r="B208">
        <v>207</v>
      </c>
      <c r="C208" s="1" t="s">
        <v>60</v>
      </c>
      <c r="D208">
        <v>0</v>
      </c>
      <c r="E208" s="6">
        <v>42386</v>
      </c>
      <c r="F208" s="1" t="s">
        <v>56</v>
      </c>
      <c r="G208" s="1">
        <v>0</v>
      </c>
      <c r="H208" s="1">
        <v>0</v>
      </c>
      <c r="I208" s="1">
        <v>2</v>
      </c>
      <c r="J208" s="1" t="s">
        <v>190</v>
      </c>
      <c r="K208" s="1">
        <v>23.56</v>
      </c>
      <c r="L208" s="1">
        <v>0</v>
      </c>
      <c r="M208" s="1">
        <v>1</v>
      </c>
      <c r="N208" s="1">
        <v>1</v>
      </c>
      <c r="O208" s="1">
        <v>0</v>
      </c>
      <c r="P208" s="1">
        <v>1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2</v>
      </c>
      <c r="AA208">
        <v>0.48970000000000008</v>
      </c>
      <c r="AB208" s="1">
        <v>7.93</v>
      </c>
      <c r="AC208" s="1">
        <v>21</v>
      </c>
      <c r="AD208">
        <f t="shared" si="2"/>
        <v>37.761904761904759</v>
      </c>
      <c r="AK208" s="1">
        <v>44.1</v>
      </c>
      <c r="AL208" s="1">
        <v>31.9</v>
      </c>
      <c r="AM208" s="1">
        <v>10.9</v>
      </c>
      <c r="AQ208">
        <f>AL208/AM208</f>
        <v>2.926605504587156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>
        <v>0</v>
      </c>
      <c r="BB208">
        <v>0</v>
      </c>
      <c r="BC208">
        <v>0</v>
      </c>
      <c r="BD208" s="1">
        <v>0</v>
      </c>
      <c r="BE208" s="1">
        <v>0</v>
      </c>
      <c r="BF208" s="1">
        <v>0</v>
      </c>
      <c r="BG208" s="1">
        <v>12</v>
      </c>
      <c r="BH208" s="1">
        <v>17212.61</v>
      </c>
      <c r="BI208" s="1">
        <v>1</v>
      </c>
      <c r="BJ208" s="1">
        <v>0</v>
      </c>
    </row>
    <row r="209" spans="1:62" x14ac:dyDescent="0.3">
      <c r="A209">
        <v>1</v>
      </c>
      <c r="B209" s="1">
        <v>208</v>
      </c>
      <c r="C209" t="s">
        <v>49</v>
      </c>
      <c r="D209">
        <v>0</v>
      </c>
      <c r="E209" s="2">
        <v>43521</v>
      </c>
      <c r="F209" t="s">
        <v>53</v>
      </c>
      <c r="G209" s="1">
        <v>0</v>
      </c>
      <c r="H209" s="1">
        <v>0</v>
      </c>
      <c r="I209" s="1">
        <v>2</v>
      </c>
      <c r="J209" s="1" t="s">
        <v>194</v>
      </c>
      <c r="K209" s="1">
        <v>22.77</v>
      </c>
      <c r="L209" s="1">
        <v>0</v>
      </c>
      <c r="M209" s="1">
        <v>1</v>
      </c>
      <c r="N209" s="1">
        <v>1</v>
      </c>
      <c r="O209" s="1">
        <v>1</v>
      </c>
      <c r="P209" s="1">
        <v>1</v>
      </c>
      <c r="Q209" s="1">
        <v>1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1</v>
      </c>
      <c r="Y209" s="1">
        <v>0</v>
      </c>
      <c r="Z209" s="1">
        <v>2</v>
      </c>
      <c r="AA209" s="1">
        <v>1.79</v>
      </c>
      <c r="AB209" s="1">
        <v>10.87</v>
      </c>
      <c r="AC209" s="1">
        <v>33</v>
      </c>
      <c r="AD209">
        <f t="shared" si="2"/>
        <v>32.939393939393938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1</v>
      </c>
      <c r="BE209" s="1">
        <v>0</v>
      </c>
      <c r="BF209" s="1">
        <v>0</v>
      </c>
      <c r="BG209" s="1">
        <v>9</v>
      </c>
      <c r="BH209">
        <f>2425.11+175.27+4998+991+202+348+522+438+450+15.75</f>
        <v>10565.130000000001</v>
      </c>
      <c r="BI209" s="1">
        <v>0</v>
      </c>
      <c r="BJ209" s="1">
        <v>0</v>
      </c>
    </row>
    <row r="210" spans="1:62" x14ac:dyDescent="0.3">
      <c r="A210" s="1">
        <v>1</v>
      </c>
      <c r="B210" s="1">
        <v>209</v>
      </c>
      <c r="C210" s="1" t="s">
        <v>51</v>
      </c>
      <c r="D210">
        <v>0</v>
      </c>
      <c r="E210" s="6">
        <v>43263</v>
      </c>
      <c r="F210" s="1" t="s">
        <v>52</v>
      </c>
      <c r="G210" s="1">
        <v>0</v>
      </c>
      <c r="H210" s="1">
        <v>1</v>
      </c>
      <c r="I210" s="1">
        <v>3</v>
      </c>
      <c r="J210" s="1" t="s">
        <v>191</v>
      </c>
      <c r="K210" s="1">
        <v>29.38</v>
      </c>
      <c r="L210" s="1">
        <v>0</v>
      </c>
      <c r="M210" s="1">
        <v>1</v>
      </c>
      <c r="N210" s="1">
        <v>1</v>
      </c>
      <c r="O210" s="1">
        <v>1</v>
      </c>
      <c r="P210" s="1">
        <v>1</v>
      </c>
      <c r="Q210" s="1">
        <v>1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2</v>
      </c>
      <c r="AA210">
        <v>0.54683999999999999</v>
      </c>
      <c r="AB210" s="1">
        <v>11.18</v>
      </c>
      <c r="AC210" s="1">
        <v>53</v>
      </c>
      <c r="AD210">
        <f t="shared" si="2"/>
        <v>21.09433962264151</v>
      </c>
      <c r="AE210" s="1">
        <v>5</v>
      </c>
      <c r="AF210" s="1">
        <v>975</v>
      </c>
      <c r="AG210" s="1">
        <v>34</v>
      </c>
      <c r="AH210" s="1">
        <v>10.199999999999999</v>
      </c>
      <c r="AI210" s="1">
        <v>5</v>
      </c>
      <c r="AJ210" s="1">
        <v>14.2</v>
      </c>
      <c r="AK210" s="1">
        <v>60.4</v>
      </c>
      <c r="AL210" s="1">
        <v>23.8</v>
      </c>
      <c r="AM210" s="1">
        <v>35.4</v>
      </c>
      <c r="AN210" s="1">
        <v>332</v>
      </c>
      <c r="AO210" s="1">
        <v>131</v>
      </c>
      <c r="AP210" s="1">
        <v>195</v>
      </c>
      <c r="AQ210">
        <f>AL210/AM210</f>
        <v>0.67231638418079098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2</v>
      </c>
      <c r="BE210" s="1">
        <v>0</v>
      </c>
      <c r="BF210" s="1">
        <v>1</v>
      </c>
      <c r="BG210" s="1">
        <v>13</v>
      </c>
      <c r="BH210" s="1">
        <v>37491.93</v>
      </c>
      <c r="BI210" s="1">
        <v>1</v>
      </c>
      <c r="BJ210" s="1">
        <v>1</v>
      </c>
    </row>
    <row r="211" spans="1:62" x14ac:dyDescent="0.3">
      <c r="A211" s="1">
        <v>1</v>
      </c>
      <c r="B211">
        <v>210</v>
      </c>
      <c r="C211" s="1" t="s">
        <v>90</v>
      </c>
      <c r="D211">
        <v>0</v>
      </c>
      <c r="E211" s="6">
        <v>43018</v>
      </c>
      <c r="F211" s="1" t="s">
        <v>121</v>
      </c>
      <c r="G211" s="1">
        <v>0</v>
      </c>
      <c r="H211" s="1">
        <v>0</v>
      </c>
      <c r="I211" s="1">
        <v>2</v>
      </c>
      <c r="J211" s="1" t="s">
        <v>196</v>
      </c>
      <c r="K211" s="1">
        <v>17.760000000000002</v>
      </c>
      <c r="L211" s="1">
        <v>0</v>
      </c>
      <c r="M211" s="1">
        <v>1</v>
      </c>
      <c r="N211" s="1">
        <v>1</v>
      </c>
      <c r="O211" s="1">
        <v>0</v>
      </c>
      <c r="P211" s="1">
        <v>1</v>
      </c>
      <c r="Q211" s="1">
        <v>1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2</v>
      </c>
      <c r="AA211">
        <v>0.58409999999999995</v>
      </c>
      <c r="AB211" s="1">
        <v>8.31</v>
      </c>
      <c r="AC211" s="1">
        <v>33</v>
      </c>
      <c r="AD211">
        <f t="shared" si="2"/>
        <v>25.181818181818183</v>
      </c>
      <c r="AR211">
        <v>1</v>
      </c>
      <c r="AS211">
        <v>0</v>
      </c>
      <c r="AT211">
        <v>0</v>
      </c>
      <c r="AU211">
        <v>1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 s="1">
        <v>1</v>
      </c>
      <c r="BE211" s="1">
        <v>0</v>
      </c>
      <c r="BF211" s="1">
        <v>0</v>
      </c>
      <c r="BG211" s="1">
        <v>11</v>
      </c>
      <c r="BH211" s="1">
        <v>11311.53</v>
      </c>
      <c r="BI211" s="1">
        <v>1</v>
      </c>
      <c r="BJ211" s="1">
        <v>0</v>
      </c>
    </row>
    <row r="212" spans="1:62" x14ac:dyDescent="0.3">
      <c r="A212">
        <v>1</v>
      </c>
      <c r="B212" s="1">
        <v>211</v>
      </c>
      <c r="C212" s="1" t="s">
        <v>60</v>
      </c>
      <c r="D212" s="1">
        <v>0</v>
      </c>
      <c r="E212" s="2">
        <v>43522</v>
      </c>
      <c r="F212" t="s">
        <v>85</v>
      </c>
      <c r="G212" s="1">
        <v>0</v>
      </c>
      <c r="H212" s="1">
        <v>0</v>
      </c>
      <c r="I212" s="1">
        <v>3</v>
      </c>
      <c r="J212" s="1" t="s">
        <v>186</v>
      </c>
      <c r="K212" s="1">
        <v>30.42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</v>
      </c>
      <c r="Y212" s="1">
        <v>0</v>
      </c>
      <c r="Z212" s="1">
        <v>1</v>
      </c>
      <c r="AA212" s="1">
        <v>2.0299999999999998</v>
      </c>
      <c r="AK212">
        <v>72.599999999999994</v>
      </c>
      <c r="AL212">
        <v>41.7</v>
      </c>
      <c r="AM212">
        <v>28.7</v>
      </c>
      <c r="AN212">
        <v>1742</v>
      </c>
      <c r="AO212">
        <v>1001</v>
      </c>
      <c r="AP212">
        <v>689</v>
      </c>
      <c r="AQ212">
        <f>AL212/AM212</f>
        <v>1.4529616724738676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1</v>
      </c>
      <c r="BE212" s="1">
        <v>0</v>
      </c>
      <c r="BF212" s="1">
        <v>0</v>
      </c>
      <c r="BG212" s="1">
        <v>14</v>
      </c>
      <c r="BH212">
        <f>2104.34+9084+3800+70+408+14+812+624+700</f>
        <v>17616.34</v>
      </c>
      <c r="BI212" s="1">
        <v>1</v>
      </c>
      <c r="BJ212" s="1">
        <v>0</v>
      </c>
    </row>
    <row r="213" spans="1:62" x14ac:dyDescent="0.3">
      <c r="A213">
        <v>1</v>
      </c>
      <c r="B213">
        <v>212</v>
      </c>
      <c r="C213" s="1" t="s">
        <v>60</v>
      </c>
      <c r="D213">
        <v>0</v>
      </c>
      <c r="E213" s="2">
        <v>43528</v>
      </c>
      <c r="F213" t="s">
        <v>78</v>
      </c>
      <c r="G213" s="1">
        <v>1</v>
      </c>
      <c r="H213" s="1">
        <v>1</v>
      </c>
      <c r="I213" s="1">
        <v>2</v>
      </c>
      <c r="J213" s="1" t="s">
        <v>193</v>
      </c>
      <c r="K213" s="1">
        <v>24.09</v>
      </c>
      <c r="L213" s="1">
        <v>0</v>
      </c>
      <c r="M213" s="1">
        <v>1</v>
      </c>
      <c r="N213" s="1">
        <v>0</v>
      </c>
      <c r="O213" s="1">
        <v>1</v>
      </c>
      <c r="P213" s="1">
        <v>0</v>
      </c>
      <c r="Q213" s="1">
        <v>1</v>
      </c>
      <c r="R213" s="1">
        <v>0</v>
      </c>
      <c r="S213" s="1">
        <v>0</v>
      </c>
      <c r="T213" s="1">
        <v>0</v>
      </c>
      <c r="U213" s="1">
        <v>1</v>
      </c>
      <c r="V213" s="1">
        <v>1</v>
      </c>
      <c r="W213" s="1">
        <v>0</v>
      </c>
      <c r="X213" s="1">
        <v>0</v>
      </c>
      <c r="Y213" s="1">
        <v>0</v>
      </c>
      <c r="Z213" s="1">
        <v>2</v>
      </c>
      <c r="AA213" s="1">
        <v>0.66</v>
      </c>
      <c r="AR213">
        <v>1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2</v>
      </c>
      <c r="BE213" s="1">
        <v>2</v>
      </c>
      <c r="BF213" s="1">
        <v>1</v>
      </c>
      <c r="BG213" s="1">
        <v>5</v>
      </c>
      <c r="BH213">
        <f>13735.99+14012+5797+280+6373+50+690+384+1440+320+6987.75</f>
        <v>50069.74</v>
      </c>
      <c r="BI213" s="1">
        <v>0</v>
      </c>
      <c r="BJ213" s="1">
        <v>1</v>
      </c>
    </row>
    <row r="214" spans="1:62" x14ac:dyDescent="0.3">
      <c r="A214" s="1">
        <v>1</v>
      </c>
      <c r="B214" s="1">
        <v>213</v>
      </c>
      <c r="C214" s="1" t="s">
        <v>69</v>
      </c>
      <c r="D214">
        <v>0</v>
      </c>
      <c r="E214" s="6">
        <v>43166</v>
      </c>
      <c r="F214" s="1" t="s">
        <v>56</v>
      </c>
      <c r="G214" s="1">
        <v>0</v>
      </c>
      <c r="H214" s="1">
        <v>0</v>
      </c>
      <c r="I214" s="1">
        <v>2</v>
      </c>
      <c r="J214" s="1" t="s">
        <v>194</v>
      </c>
      <c r="K214" s="1">
        <v>25.21</v>
      </c>
      <c r="L214" s="1">
        <v>2</v>
      </c>
      <c r="M214" s="1">
        <v>1</v>
      </c>
      <c r="N214" s="1">
        <v>1</v>
      </c>
      <c r="O214" s="1">
        <v>0</v>
      </c>
      <c r="P214" s="1">
        <v>1</v>
      </c>
      <c r="Q214" s="1">
        <v>1</v>
      </c>
      <c r="R214" s="1">
        <v>1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2</v>
      </c>
      <c r="AA214">
        <v>1.4420000000000002</v>
      </c>
      <c r="AB214" s="1">
        <v>9.42</v>
      </c>
      <c r="AC214" s="1">
        <v>21</v>
      </c>
      <c r="AD214">
        <f>AB214*100/AC214</f>
        <v>44.857142857142854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1</v>
      </c>
      <c r="BE214" s="1">
        <v>0</v>
      </c>
      <c r="BF214" s="1">
        <v>0</v>
      </c>
      <c r="BG214" s="1">
        <v>7</v>
      </c>
      <c r="BH214" s="1">
        <v>8324.0300000000007</v>
      </c>
      <c r="BI214" s="1">
        <v>0</v>
      </c>
      <c r="BJ214" s="1">
        <v>0</v>
      </c>
    </row>
    <row r="215" spans="1:62" x14ac:dyDescent="0.3">
      <c r="A215">
        <v>1</v>
      </c>
      <c r="B215" s="1">
        <v>214</v>
      </c>
      <c r="C215" t="s">
        <v>60</v>
      </c>
      <c r="D215">
        <v>0</v>
      </c>
      <c r="E215" s="2" t="s">
        <v>160</v>
      </c>
      <c r="F215" s="4" t="s">
        <v>85</v>
      </c>
      <c r="G215" s="1">
        <v>1</v>
      </c>
      <c r="H215" s="1">
        <v>1</v>
      </c>
      <c r="I215" s="1">
        <v>2</v>
      </c>
      <c r="J215" s="1" t="s">
        <v>191</v>
      </c>
      <c r="K215" s="1">
        <v>20.55</v>
      </c>
      <c r="L215" s="1">
        <v>0</v>
      </c>
      <c r="M215" s="1">
        <v>1</v>
      </c>
      <c r="N215" s="1">
        <v>0</v>
      </c>
      <c r="O215" s="1">
        <v>1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1</v>
      </c>
      <c r="Y215" s="1">
        <v>0</v>
      </c>
      <c r="Z215" s="1">
        <v>2</v>
      </c>
      <c r="AA215" s="1">
        <v>0.44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2</v>
      </c>
      <c r="BE215" s="1">
        <v>0</v>
      </c>
      <c r="BF215" s="1">
        <v>0</v>
      </c>
      <c r="BG215" s="1">
        <v>16</v>
      </c>
      <c r="BH215">
        <f>15182.14+7601+1315+140+2970+150+218+928+888+800+5508.35</f>
        <v>35700.49</v>
      </c>
      <c r="BI215" s="1">
        <v>0</v>
      </c>
      <c r="BJ215" s="1">
        <v>0</v>
      </c>
    </row>
    <row r="216" spans="1:62" x14ac:dyDescent="0.3">
      <c r="A216">
        <v>1</v>
      </c>
      <c r="B216">
        <v>215</v>
      </c>
      <c r="C216" s="1" t="s">
        <v>60</v>
      </c>
      <c r="D216">
        <v>0</v>
      </c>
      <c r="E216" s="2">
        <v>43507</v>
      </c>
      <c r="F216" t="s">
        <v>53</v>
      </c>
      <c r="G216" s="1">
        <v>0</v>
      </c>
      <c r="H216" s="1">
        <v>1</v>
      </c>
      <c r="I216" s="1">
        <v>2</v>
      </c>
      <c r="J216" s="1" t="s">
        <v>195</v>
      </c>
      <c r="K216" s="1">
        <v>21.36</v>
      </c>
      <c r="L216" s="1">
        <v>0</v>
      </c>
      <c r="M216" s="1">
        <v>1</v>
      </c>
      <c r="N216" s="1">
        <v>1</v>
      </c>
      <c r="O216" s="1">
        <v>1</v>
      </c>
      <c r="P216" s="1">
        <v>1</v>
      </c>
      <c r="Q216" s="1">
        <v>0</v>
      </c>
      <c r="R216" s="1">
        <v>1</v>
      </c>
      <c r="S216" s="1">
        <v>0</v>
      </c>
      <c r="T216" s="1">
        <v>0</v>
      </c>
      <c r="U216" s="1">
        <v>1</v>
      </c>
      <c r="V216" s="1">
        <v>0</v>
      </c>
      <c r="W216" s="1">
        <v>0</v>
      </c>
      <c r="X216" s="1">
        <v>0</v>
      </c>
      <c r="Y216" s="1">
        <v>0</v>
      </c>
      <c r="Z216" s="1">
        <v>2</v>
      </c>
      <c r="AA216" s="1">
        <v>0.37</v>
      </c>
      <c r="AB216" s="1">
        <v>9.18</v>
      </c>
      <c r="AC216" s="1">
        <v>33</v>
      </c>
      <c r="AD216">
        <f>AB216*100/AC216</f>
        <v>27.818181818181817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1</v>
      </c>
      <c r="BE216" s="1">
        <v>0</v>
      </c>
      <c r="BF216" s="1">
        <v>0</v>
      </c>
      <c r="BG216" s="1">
        <v>20</v>
      </c>
      <c r="BH216">
        <f>4277.12+97.2+7932+1235+348+936+1131+939+975+102.38</f>
        <v>17972.7</v>
      </c>
      <c r="BI216" s="1">
        <v>0</v>
      </c>
      <c r="BJ216" s="1">
        <v>0</v>
      </c>
    </row>
    <row r="217" spans="1:62" x14ac:dyDescent="0.3">
      <c r="A217">
        <v>1</v>
      </c>
      <c r="B217" s="1">
        <v>216</v>
      </c>
      <c r="C217" t="s">
        <v>54</v>
      </c>
      <c r="D217">
        <v>0</v>
      </c>
      <c r="E217" s="2" t="s">
        <v>147</v>
      </c>
      <c r="F217" s="4" t="s">
        <v>123</v>
      </c>
      <c r="G217" s="1">
        <v>0</v>
      </c>
      <c r="H217" s="1">
        <v>1</v>
      </c>
      <c r="I217" s="1">
        <v>2</v>
      </c>
      <c r="J217" s="1" t="s">
        <v>190</v>
      </c>
      <c r="K217" s="1">
        <v>26.04</v>
      </c>
      <c r="L217" s="1">
        <v>0</v>
      </c>
      <c r="M217" s="1">
        <v>1</v>
      </c>
      <c r="N217" s="1">
        <v>1</v>
      </c>
      <c r="O217" s="1">
        <v>0</v>
      </c>
      <c r="P217" s="1">
        <v>1</v>
      </c>
      <c r="Q217" s="1">
        <v>0</v>
      </c>
      <c r="R217" s="1">
        <v>1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1</v>
      </c>
      <c r="Z217" s="1">
        <v>2</v>
      </c>
      <c r="AA217" s="1">
        <v>2.2599999999999998</v>
      </c>
      <c r="AB217" s="1">
        <v>20.11</v>
      </c>
      <c r="AC217" s="1">
        <v>50</v>
      </c>
      <c r="AD217">
        <f>AB217*100/AC217</f>
        <v>40.22</v>
      </c>
      <c r="AK217">
        <v>87</v>
      </c>
      <c r="AL217">
        <v>64</v>
      </c>
      <c r="AM217">
        <v>22.8</v>
      </c>
      <c r="AN217">
        <v>1966</v>
      </c>
      <c r="AO217">
        <v>1446</v>
      </c>
      <c r="AP217">
        <v>515</v>
      </c>
      <c r="AQ217">
        <f>AL217/AM217</f>
        <v>2.807017543859649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1</v>
      </c>
      <c r="BE217" s="1">
        <v>1</v>
      </c>
      <c r="BF217" s="1">
        <v>1</v>
      </c>
      <c r="BG217" s="1">
        <v>9</v>
      </c>
      <c r="BH217">
        <f>3968.95+7331+2322+70+570+350+3060+350+115.71</f>
        <v>18137.66</v>
      </c>
      <c r="BI217" s="1">
        <v>0</v>
      </c>
      <c r="BJ217" s="1">
        <v>0</v>
      </c>
    </row>
    <row r="218" spans="1:62" x14ac:dyDescent="0.3">
      <c r="A218" s="1">
        <v>2</v>
      </c>
      <c r="B218">
        <v>217</v>
      </c>
      <c r="C218" s="1" t="s">
        <v>54</v>
      </c>
      <c r="D218">
        <v>0</v>
      </c>
      <c r="E218" s="6">
        <v>43250</v>
      </c>
      <c r="F218" s="1" t="s">
        <v>103</v>
      </c>
      <c r="G218" s="1">
        <v>0</v>
      </c>
      <c r="H218" s="1">
        <v>1</v>
      </c>
      <c r="I218" s="1">
        <v>2</v>
      </c>
      <c r="J218" s="1" t="s">
        <v>192</v>
      </c>
      <c r="K218" s="1">
        <v>18.97</v>
      </c>
      <c r="L218" s="1">
        <v>0</v>
      </c>
      <c r="M218" s="1">
        <v>1</v>
      </c>
      <c r="N218" s="1">
        <v>1</v>
      </c>
      <c r="O218" s="1">
        <v>1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2</v>
      </c>
      <c r="AA218">
        <v>0.89112000000000013</v>
      </c>
      <c r="AB218" s="1">
        <v>20.16</v>
      </c>
      <c r="AC218" s="1">
        <v>37</v>
      </c>
      <c r="AD218">
        <f>AB218*100/AC218</f>
        <v>54.486486486486484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2</v>
      </c>
      <c r="BE218" s="1">
        <v>1</v>
      </c>
      <c r="BF218" s="1">
        <v>0</v>
      </c>
      <c r="BG218" s="1">
        <v>14</v>
      </c>
      <c r="BH218" s="1">
        <v>18248.740000000002</v>
      </c>
      <c r="BI218" s="1">
        <v>0</v>
      </c>
      <c r="BJ218" s="1">
        <v>1</v>
      </c>
    </row>
    <row r="219" spans="1:62" x14ac:dyDescent="0.3">
      <c r="A219" s="1">
        <v>1</v>
      </c>
      <c r="B219" s="1">
        <v>218</v>
      </c>
      <c r="C219" s="1" t="s">
        <v>60</v>
      </c>
      <c r="D219">
        <v>0</v>
      </c>
      <c r="E219" s="6">
        <v>43006</v>
      </c>
      <c r="F219" s="1" t="s">
        <v>121</v>
      </c>
      <c r="G219" s="1">
        <v>0</v>
      </c>
      <c r="H219" s="1">
        <v>0</v>
      </c>
      <c r="I219" s="1">
        <v>2</v>
      </c>
      <c r="J219" s="1" t="s">
        <v>196</v>
      </c>
      <c r="K219" s="1">
        <v>22.53</v>
      </c>
      <c r="L219" s="1">
        <v>0</v>
      </c>
      <c r="M219" s="1">
        <v>1</v>
      </c>
      <c r="N219" s="1">
        <v>1</v>
      </c>
      <c r="O219" s="1">
        <v>0</v>
      </c>
      <c r="P219" s="1">
        <v>1</v>
      </c>
      <c r="Q219" s="1">
        <v>1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1">
        <v>0</v>
      </c>
      <c r="Z219" s="1">
        <v>2</v>
      </c>
      <c r="AA219">
        <v>1.2883199999999999</v>
      </c>
      <c r="AB219" s="1">
        <v>9.5</v>
      </c>
      <c r="AC219" s="1">
        <v>21</v>
      </c>
      <c r="AD219">
        <f>AB219*100/AC219</f>
        <v>45.238095238095241</v>
      </c>
      <c r="AR219">
        <v>1</v>
      </c>
      <c r="AS219">
        <v>0</v>
      </c>
      <c r="AT219">
        <v>0</v>
      </c>
      <c r="AU219">
        <v>0</v>
      </c>
      <c r="AV219">
        <v>0</v>
      </c>
      <c r="AW219">
        <v>1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 s="1">
        <v>1</v>
      </c>
      <c r="BE219" s="1">
        <v>0</v>
      </c>
      <c r="BF219" s="1">
        <v>0</v>
      </c>
      <c r="BG219" s="1">
        <v>13</v>
      </c>
      <c r="BH219" s="1">
        <v>7063.46</v>
      </c>
      <c r="BI219" s="1">
        <v>1</v>
      </c>
      <c r="BJ219" s="1">
        <v>0</v>
      </c>
    </row>
    <row r="220" spans="1:62" x14ac:dyDescent="0.3">
      <c r="A220">
        <v>1</v>
      </c>
      <c r="B220" s="1">
        <v>219</v>
      </c>
      <c r="C220" s="1" t="s">
        <v>60</v>
      </c>
      <c r="D220">
        <v>0</v>
      </c>
      <c r="E220" s="2">
        <v>43513</v>
      </c>
      <c r="F220" t="s">
        <v>88</v>
      </c>
      <c r="G220" s="1">
        <v>0</v>
      </c>
      <c r="H220" s="1">
        <v>0</v>
      </c>
      <c r="I220" s="1">
        <v>2</v>
      </c>
      <c r="J220" s="1" t="s">
        <v>196</v>
      </c>
      <c r="K220" s="1">
        <v>25.06</v>
      </c>
      <c r="L220" s="1">
        <v>0</v>
      </c>
      <c r="M220" s="1">
        <v>1</v>
      </c>
      <c r="N220" s="1">
        <v>1</v>
      </c>
      <c r="O220" s="1">
        <v>0</v>
      </c>
      <c r="P220" s="1">
        <v>0</v>
      </c>
      <c r="Q220" s="1">
        <v>1</v>
      </c>
      <c r="R220" s="1">
        <v>1</v>
      </c>
      <c r="S220" s="1">
        <v>0</v>
      </c>
      <c r="T220" s="1">
        <v>1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2</v>
      </c>
      <c r="AA220" s="1">
        <v>1.78</v>
      </c>
      <c r="AK220">
        <v>68.099999999999994</v>
      </c>
      <c r="AL220">
        <v>39.700000000000003</v>
      </c>
      <c r="AM220">
        <v>28.2</v>
      </c>
      <c r="AQ220">
        <f>AL220/AM220</f>
        <v>1.4078014184397165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1</v>
      </c>
      <c r="BE220" s="1">
        <v>0</v>
      </c>
      <c r="BF220" s="1">
        <v>0</v>
      </c>
      <c r="BG220" s="1">
        <v>22</v>
      </c>
      <c r="BH220">
        <f>8643.17+66.89+9058+1153+298+102+2200+924+1075+31.5</f>
        <v>23551.559999999998</v>
      </c>
      <c r="BI220" s="1">
        <v>1</v>
      </c>
      <c r="BJ220" s="1">
        <v>0</v>
      </c>
    </row>
    <row r="221" spans="1:62" x14ac:dyDescent="0.3">
      <c r="A221" s="1">
        <v>1</v>
      </c>
      <c r="B221">
        <v>220</v>
      </c>
      <c r="C221" s="1" t="s">
        <v>77</v>
      </c>
      <c r="D221">
        <v>0</v>
      </c>
      <c r="E221" s="6">
        <v>43233</v>
      </c>
      <c r="F221" s="1" t="s">
        <v>85</v>
      </c>
      <c r="G221" s="1">
        <v>0</v>
      </c>
      <c r="H221" s="1">
        <v>0</v>
      </c>
      <c r="I221" s="1">
        <v>3</v>
      </c>
      <c r="J221" s="1" t="s">
        <v>184</v>
      </c>
      <c r="K221" s="1">
        <v>22.05</v>
      </c>
      <c r="L221" s="1">
        <v>0</v>
      </c>
      <c r="M221" s="1">
        <v>0</v>
      </c>
      <c r="N221" s="1">
        <v>1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1</v>
      </c>
      <c r="AA221">
        <v>2.6631</v>
      </c>
      <c r="AK221" s="1">
        <v>83.9</v>
      </c>
      <c r="AL221" s="1">
        <v>51.3</v>
      </c>
      <c r="AM221" s="1">
        <v>30.3</v>
      </c>
      <c r="AN221" s="1">
        <v>2265</v>
      </c>
      <c r="AO221" s="1">
        <v>138.5</v>
      </c>
      <c r="AP221" s="1">
        <v>818</v>
      </c>
      <c r="AQ221">
        <f>AL221/AM221</f>
        <v>1.693069306930693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8</v>
      </c>
      <c r="BH221" s="1">
        <v>18482.04</v>
      </c>
      <c r="BI221" s="1">
        <v>1</v>
      </c>
      <c r="BJ221" s="1">
        <v>0</v>
      </c>
    </row>
    <row r="222" spans="1:62" x14ac:dyDescent="0.3">
      <c r="A222" s="1">
        <v>1</v>
      </c>
      <c r="B222" s="1">
        <v>221</v>
      </c>
      <c r="C222" s="1" t="s">
        <v>92</v>
      </c>
      <c r="D222">
        <v>0</v>
      </c>
      <c r="E222" s="6">
        <v>43152</v>
      </c>
      <c r="F222" s="1" t="s">
        <v>61</v>
      </c>
      <c r="G222" s="1">
        <v>0</v>
      </c>
      <c r="H222" s="1">
        <v>1</v>
      </c>
      <c r="I222" s="1">
        <v>3</v>
      </c>
      <c r="J222" s="1" t="s">
        <v>188</v>
      </c>
      <c r="K222" s="1">
        <v>31.22</v>
      </c>
      <c r="L222" s="1">
        <v>0</v>
      </c>
      <c r="M222" s="1">
        <v>1</v>
      </c>
      <c r="N222" s="1">
        <v>1</v>
      </c>
      <c r="O222" s="1">
        <v>1</v>
      </c>
      <c r="P222" s="1">
        <v>1</v>
      </c>
      <c r="Q222" s="1">
        <v>1</v>
      </c>
      <c r="R222" s="1">
        <v>1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1">
        <v>0</v>
      </c>
      <c r="Z222" s="1">
        <v>2</v>
      </c>
      <c r="AA222">
        <v>1.0959999999999999</v>
      </c>
      <c r="AB222" s="1">
        <v>9.7899999999999991</v>
      </c>
      <c r="AC222" s="1">
        <v>33</v>
      </c>
      <c r="AD222">
        <f>AB222*100/AC222</f>
        <v>29.666666666666664</v>
      </c>
      <c r="AK222" s="1">
        <v>66.5</v>
      </c>
      <c r="AL222" s="1">
        <v>41.7</v>
      </c>
      <c r="AM222" s="1">
        <v>24.3</v>
      </c>
      <c r="AN222" s="1">
        <v>324</v>
      </c>
      <c r="AO222" s="1">
        <v>169</v>
      </c>
      <c r="AP222" s="1">
        <v>152</v>
      </c>
      <c r="AQ222">
        <f>AL222/AM222</f>
        <v>1.7160493827160495</v>
      </c>
      <c r="AR222" s="1">
        <v>1</v>
      </c>
      <c r="AS222" s="1">
        <v>0</v>
      </c>
      <c r="AT222" s="1">
        <v>1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2</v>
      </c>
      <c r="BE222" s="1">
        <v>2</v>
      </c>
      <c r="BF222" s="1">
        <v>1</v>
      </c>
      <c r="BG222" s="1">
        <v>58</v>
      </c>
      <c r="BH222" s="1">
        <v>52082.03</v>
      </c>
      <c r="BI222" s="1">
        <v>1</v>
      </c>
      <c r="BJ222" s="1">
        <v>1</v>
      </c>
    </row>
    <row r="223" spans="1:62" x14ac:dyDescent="0.3">
      <c r="A223" s="1">
        <v>1</v>
      </c>
      <c r="B223">
        <v>222</v>
      </c>
      <c r="C223" s="1" t="s">
        <v>71</v>
      </c>
      <c r="D223">
        <v>0</v>
      </c>
      <c r="E223" s="6">
        <v>43083</v>
      </c>
      <c r="F223" s="1" t="s">
        <v>64</v>
      </c>
      <c r="G223" s="1">
        <v>0</v>
      </c>
      <c r="H223" s="1">
        <v>0</v>
      </c>
      <c r="I223" s="1">
        <v>2</v>
      </c>
      <c r="J223" s="1" t="s">
        <v>195</v>
      </c>
      <c r="K223" s="1">
        <v>24.46</v>
      </c>
      <c r="L223" s="1">
        <v>0</v>
      </c>
      <c r="M223" s="1">
        <v>1</v>
      </c>
      <c r="N223" s="1">
        <v>1</v>
      </c>
      <c r="O223" s="1">
        <v>1</v>
      </c>
      <c r="P223" s="1">
        <v>0</v>
      </c>
      <c r="Q223" s="1">
        <v>1</v>
      </c>
      <c r="R223" s="1">
        <v>1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1</v>
      </c>
      <c r="Z223" s="1">
        <v>2</v>
      </c>
      <c r="AA223">
        <v>0.78659999999999997</v>
      </c>
      <c r="AB223" s="1">
        <v>8.36</v>
      </c>
      <c r="AC223" s="1">
        <v>21</v>
      </c>
      <c r="AD223">
        <f>AB223*100/AC223</f>
        <v>39.80952380952381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1</v>
      </c>
      <c r="BE223" s="1">
        <v>0</v>
      </c>
      <c r="BF223" s="1">
        <v>0</v>
      </c>
      <c r="BG223" s="1">
        <v>46</v>
      </c>
      <c r="BH223" s="1">
        <v>28987.23</v>
      </c>
      <c r="BI223" s="1">
        <v>0</v>
      </c>
      <c r="BJ223" s="1">
        <v>0</v>
      </c>
    </row>
    <row r="224" spans="1:62" x14ac:dyDescent="0.3">
      <c r="A224" s="1">
        <v>1</v>
      </c>
      <c r="B224" s="1">
        <v>223</v>
      </c>
      <c r="C224" s="1" t="s">
        <v>94</v>
      </c>
      <c r="D224">
        <v>1</v>
      </c>
      <c r="E224" s="6">
        <v>42991</v>
      </c>
      <c r="F224" s="1" t="s">
        <v>85</v>
      </c>
      <c r="G224" s="1">
        <v>0</v>
      </c>
      <c r="H224" s="1">
        <v>0</v>
      </c>
      <c r="I224" s="1">
        <v>1</v>
      </c>
      <c r="J224" s="1" t="s">
        <v>187</v>
      </c>
      <c r="K224" s="1">
        <v>19.97</v>
      </c>
      <c r="L224" s="1">
        <v>0</v>
      </c>
      <c r="M224" s="1">
        <v>0</v>
      </c>
      <c r="N224" s="1">
        <v>1</v>
      </c>
      <c r="O224" s="1">
        <v>0</v>
      </c>
      <c r="P224" s="1">
        <v>0</v>
      </c>
      <c r="Q224" s="1">
        <v>1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1</v>
      </c>
      <c r="Y224" s="1">
        <v>0</v>
      </c>
      <c r="Z224" s="1">
        <v>1</v>
      </c>
      <c r="AA224">
        <v>0.87109999999999999</v>
      </c>
      <c r="AK224" s="1">
        <v>78.5</v>
      </c>
      <c r="AL224" s="1">
        <v>63</v>
      </c>
      <c r="AM224" s="1">
        <v>14.6</v>
      </c>
      <c r="AN224" s="1">
        <v>550</v>
      </c>
      <c r="AO224" s="1">
        <v>441</v>
      </c>
      <c r="AP224" s="1">
        <v>102</v>
      </c>
      <c r="AQ224">
        <f>AL224/AM224</f>
        <v>4.3150684931506849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1</v>
      </c>
      <c r="BE224" s="1">
        <v>0</v>
      </c>
      <c r="BF224" s="1">
        <v>0</v>
      </c>
      <c r="BG224" s="1">
        <v>7</v>
      </c>
      <c r="BH224" s="1">
        <v>22473.49</v>
      </c>
      <c r="BI224" s="1">
        <v>0</v>
      </c>
      <c r="BJ224" s="1">
        <v>0</v>
      </c>
    </row>
    <row r="225" spans="1:62" x14ac:dyDescent="0.3">
      <c r="A225">
        <v>1</v>
      </c>
      <c r="B225" s="1">
        <v>224</v>
      </c>
      <c r="C225" s="1" t="s">
        <v>60</v>
      </c>
      <c r="D225">
        <v>0</v>
      </c>
      <c r="E225" s="2">
        <v>43472</v>
      </c>
      <c r="F225" t="s">
        <v>123</v>
      </c>
      <c r="G225" s="1">
        <v>0</v>
      </c>
      <c r="H225" s="1">
        <v>1</v>
      </c>
      <c r="I225" s="1">
        <v>2</v>
      </c>
      <c r="J225" s="1" t="s">
        <v>191</v>
      </c>
      <c r="K225" s="1">
        <v>36.049999999999997</v>
      </c>
      <c r="L225" s="1">
        <v>0</v>
      </c>
      <c r="M225" s="1">
        <v>1</v>
      </c>
      <c r="N225" s="1">
        <v>1</v>
      </c>
      <c r="O225" s="1">
        <v>1</v>
      </c>
      <c r="P225" s="1">
        <v>1</v>
      </c>
      <c r="Q225" s="1">
        <v>1</v>
      </c>
      <c r="R225" s="1">
        <v>1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2</v>
      </c>
      <c r="AA225" s="1">
        <v>1.03</v>
      </c>
      <c r="AB225" s="1">
        <v>14.17</v>
      </c>
      <c r="AC225" s="1">
        <v>61</v>
      </c>
      <c r="AD225">
        <f>AB225*100/AC225</f>
        <v>23.229508196721312</v>
      </c>
      <c r="AK225">
        <v>57.8</v>
      </c>
      <c r="AL225">
        <v>33.1</v>
      </c>
      <c r="AM225">
        <v>19.3</v>
      </c>
      <c r="AN225">
        <v>601</v>
      </c>
      <c r="AO225">
        <v>344</v>
      </c>
      <c r="AP225">
        <v>201</v>
      </c>
      <c r="AQ225">
        <f>AL225/AM225</f>
        <v>1.7150259067357514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1</v>
      </c>
      <c r="BE225" s="1">
        <v>0</v>
      </c>
      <c r="BF225" s="1">
        <v>1</v>
      </c>
      <c r="BG225" s="1">
        <v>13</v>
      </c>
      <c r="BH225">
        <f>6521.08+115.81+9293+1185+140+1595+748+1840+757+500+227.27</f>
        <v>22922.16</v>
      </c>
      <c r="BI225" s="1">
        <v>1</v>
      </c>
      <c r="BJ225" s="1">
        <v>0</v>
      </c>
    </row>
    <row r="226" spans="1:62" x14ac:dyDescent="0.3">
      <c r="A226" s="1">
        <v>1</v>
      </c>
      <c r="B226">
        <v>225</v>
      </c>
      <c r="C226" s="1" t="s">
        <v>60</v>
      </c>
      <c r="D226">
        <v>0</v>
      </c>
      <c r="E226" s="6">
        <v>42954</v>
      </c>
      <c r="F226" s="1" t="s">
        <v>85</v>
      </c>
      <c r="G226" s="1">
        <v>0</v>
      </c>
      <c r="H226" s="1">
        <v>0</v>
      </c>
      <c r="I226" s="1">
        <v>2</v>
      </c>
      <c r="J226" s="1" t="s">
        <v>192</v>
      </c>
      <c r="K226" s="1">
        <v>29.47</v>
      </c>
      <c r="L226" s="1">
        <v>1</v>
      </c>
      <c r="M226" s="1">
        <v>1</v>
      </c>
      <c r="N226" s="1">
        <v>1</v>
      </c>
      <c r="O226" s="1">
        <v>0</v>
      </c>
      <c r="P226" s="1">
        <v>1</v>
      </c>
      <c r="Q226" s="1">
        <v>0</v>
      </c>
      <c r="R226" s="1">
        <v>1</v>
      </c>
      <c r="S226" s="1">
        <v>0</v>
      </c>
      <c r="T226" s="1">
        <v>0</v>
      </c>
      <c r="U226" s="1">
        <v>0</v>
      </c>
      <c r="V226" s="1">
        <v>0</v>
      </c>
      <c r="W226" s="1">
        <v>1</v>
      </c>
      <c r="X226" s="1">
        <v>1</v>
      </c>
      <c r="Y226" s="1">
        <v>1</v>
      </c>
      <c r="Z226" s="1">
        <v>2</v>
      </c>
      <c r="AA226">
        <v>1.3233599999999999</v>
      </c>
      <c r="AK226" s="1">
        <v>68.8</v>
      </c>
      <c r="AL226" s="1">
        <v>45.9</v>
      </c>
      <c r="AM226" s="1">
        <v>20.2</v>
      </c>
      <c r="AN226" s="1">
        <v>1032</v>
      </c>
      <c r="AO226" s="1">
        <v>689</v>
      </c>
      <c r="AP226" s="1">
        <v>303</v>
      </c>
      <c r="AQ226">
        <f>AL226/AM226</f>
        <v>2.2722772277227721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1</v>
      </c>
      <c r="BE226" s="1">
        <v>0</v>
      </c>
      <c r="BF226" s="1">
        <v>0</v>
      </c>
      <c r="BG226" s="1">
        <v>16</v>
      </c>
      <c r="BH226" s="1">
        <v>18560.669999999998</v>
      </c>
      <c r="BI226" s="1">
        <v>1</v>
      </c>
      <c r="BJ226" s="1">
        <v>1</v>
      </c>
    </row>
    <row r="227" spans="1:62" x14ac:dyDescent="0.3">
      <c r="A227" s="1">
        <v>1</v>
      </c>
      <c r="B227" s="1">
        <v>226</v>
      </c>
      <c r="C227" s="1" t="s">
        <v>60</v>
      </c>
      <c r="D227">
        <v>0</v>
      </c>
      <c r="E227" s="6">
        <v>42355</v>
      </c>
      <c r="F227" s="1" t="s">
        <v>52</v>
      </c>
      <c r="G227" s="1">
        <v>0</v>
      </c>
      <c r="H227" s="1">
        <v>1</v>
      </c>
      <c r="I227" s="1">
        <v>3</v>
      </c>
      <c r="J227" s="1" t="s">
        <v>188</v>
      </c>
      <c r="K227" s="1">
        <v>26.67</v>
      </c>
      <c r="L227" s="1">
        <v>0</v>
      </c>
      <c r="M227" s="1">
        <v>1</v>
      </c>
      <c r="N227" s="1">
        <v>0</v>
      </c>
      <c r="O227" s="1">
        <v>0</v>
      </c>
      <c r="P227" s="1">
        <v>1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2</v>
      </c>
      <c r="AA227">
        <v>1.3611899999999999</v>
      </c>
      <c r="AB227" s="1">
        <v>14</v>
      </c>
      <c r="AC227" s="1">
        <v>33</v>
      </c>
      <c r="AD227">
        <f>AB227*100/AC227</f>
        <v>42.424242424242422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 s="1">
        <v>0</v>
      </c>
      <c r="BE227" s="1">
        <v>0</v>
      </c>
      <c r="BF227" s="1">
        <v>1</v>
      </c>
      <c r="BG227" s="1">
        <v>12</v>
      </c>
      <c r="BH227" s="1">
        <v>18561.759999999998</v>
      </c>
      <c r="BI227" s="1">
        <v>1</v>
      </c>
      <c r="BJ227" s="1">
        <v>1</v>
      </c>
    </row>
    <row r="228" spans="1:62" x14ac:dyDescent="0.3">
      <c r="A228">
        <v>1</v>
      </c>
      <c r="B228">
        <v>227</v>
      </c>
      <c r="C228" t="s">
        <v>49</v>
      </c>
      <c r="D228">
        <v>0</v>
      </c>
      <c r="E228" s="2">
        <v>43490</v>
      </c>
      <c r="F228" t="s">
        <v>123</v>
      </c>
      <c r="G228" s="1">
        <v>0</v>
      </c>
      <c r="H228" s="1">
        <v>1</v>
      </c>
      <c r="I228" s="1">
        <v>2</v>
      </c>
      <c r="J228" s="1" t="s">
        <v>192</v>
      </c>
      <c r="K228" s="1">
        <v>25.71</v>
      </c>
      <c r="L228" s="1">
        <v>0</v>
      </c>
      <c r="M228" s="1">
        <v>1</v>
      </c>
      <c r="N228" s="1">
        <v>0</v>
      </c>
      <c r="O228" s="1">
        <v>0</v>
      </c>
      <c r="P228" s="1">
        <v>1</v>
      </c>
      <c r="Q228" s="1">
        <v>1</v>
      </c>
      <c r="R228" s="1">
        <v>1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2</v>
      </c>
      <c r="AA228" s="1">
        <v>1.4</v>
      </c>
      <c r="AB228" s="1">
        <v>11.98</v>
      </c>
      <c r="AC228" s="1">
        <v>41</v>
      </c>
      <c r="AD228">
        <f>AB228*100/AC228</f>
        <v>29.219512195121951</v>
      </c>
      <c r="AE228" s="1">
        <v>5</v>
      </c>
      <c r="AF228" s="1">
        <v>2477</v>
      </c>
      <c r="AG228" s="1">
        <v>4.91</v>
      </c>
      <c r="AH228" s="1">
        <v>51.2</v>
      </c>
      <c r="AI228" s="1">
        <v>5</v>
      </c>
      <c r="AJ228" s="1">
        <v>22.2</v>
      </c>
      <c r="AK228" s="1">
        <v>55</v>
      </c>
      <c r="AL228" s="1">
        <v>40.4</v>
      </c>
      <c r="AM228" s="1">
        <v>13.9</v>
      </c>
      <c r="AN228" s="1">
        <v>627</v>
      </c>
      <c r="AO228" s="1">
        <v>461</v>
      </c>
      <c r="AP228" s="1">
        <v>158</v>
      </c>
      <c r="AQ228">
        <f>AL228/AM228</f>
        <v>2.9064748201438846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1</v>
      </c>
      <c r="BE228" s="1">
        <v>0</v>
      </c>
      <c r="BF228" s="1">
        <v>1</v>
      </c>
      <c r="BG228" s="1">
        <v>5</v>
      </c>
      <c r="BH228">
        <f>1980.25+5684+330+70+175+264+1527+203+75+199.5</f>
        <v>10507.75</v>
      </c>
      <c r="BI228" s="1">
        <v>1</v>
      </c>
      <c r="BJ228" s="1">
        <v>1</v>
      </c>
    </row>
    <row r="229" spans="1:62" x14ac:dyDescent="0.3">
      <c r="A229" s="1">
        <v>1</v>
      </c>
      <c r="B229" s="1">
        <v>228</v>
      </c>
      <c r="C229" s="1" t="s">
        <v>51</v>
      </c>
      <c r="D229">
        <v>0</v>
      </c>
      <c r="E229" s="6">
        <v>42494</v>
      </c>
      <c r="F229" s="1" t="s">
        <v>53</v>
      </c>
      <c r="G229" s="1">
        <v>0</v>
      </c>
      <c r="H229" s="1">
        <v>0</v>
      </c>
      <c r="I229" s="1">
        <v>2</v>
      </c>
      <c r="J229" s="1" t="s">
        <v>191</v>
      </c>
      <c r="K229" s="1">
        <v>23.05</v>
      </c>
      <c r="L229" s="1">
        <v>0</v>
      </c>
      <c r="M229" s="1">
        <v>1</v>
      </c>
      <c r="N229" s="1">
        <v>0</v>
      </c>
      <c r="O229" s="1">
        <v>0</v>
      </c>
      <c r="P229" s="1">
        <v>1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2</v>
      </c>
      <c r="AA229">
        <v>1.47126</v>
      </c>
      <c r="AB229" s="1">
        <v>13.22</v>
      </c>
      <c r="AC229" s="1">
        <v>21</v>
      </c>
      <c r="AD229">
        <f>AB229*100/AC229</f>
        <v>62.952380952380949</v>
      </c>
      <c r="AE229" s="1">
        <v>5</v>
      </c>
      <c r="AF229" s="1">
        <v>1334</v>
      </c>
      <c r="AG229" s="1">
        <v>2</v>
      </c>
      <c r="AH229" s="1">
        <v>245</v>
      </c>
      <c r="AI229" s="1">
        <v>5</v>
      </c>
      <c r="AJ229" s="1"/>
      <c r="AK229" s="1">
        <v>74.8</v>
      </c>
      <c r="AL229" s="1">
        <v>57.5</v>
      </c>
      <c r="AM229" s="1">
        <v>14.5</v>
      </c>
      <c r="AQ229">
        <f>AL229/AM229</f>
        <v>3.9655172413793105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>
        <v>0</v>
      </c>
      <c r="BD229" s="1">
        <v>0</v>
      </c>
      <c r="BE229" s="1">
        <v>0</v>
      </c>
      <c r="BF229" s="1">
        <v>0</v>
      </c>
      <c r="BG229" s="1">
        <v>14</v>
      </c>
      <c r="BH229" s="1">
        <v>18794.189999999999</v>
      </c>
      <c r="BI229" s="1">
        <v>0</v>
      </c>
      <c r="BJ229" s="1">
        <v>0</v>
      </c>
    </row>
    <row r="230" spans="1:62" x14ac:dyDescent="0.3">
      <c r="A230" s="1">
        <v>1</v>
      </c>
      <c r="B230" s="1">
        <v>229</v>
      </c>
      <c r="C230" s="1" t="s">
        <v>51</v>
      </c>
      <c r="D230">
        <v>0</v>
      </c>
      <c r="E230" s="6">
        <v>42830</v>
      </c>
      <c r="F230" s="1" t="s">
        <v>85</v>
      </c>
      <c r="G230" s="1">
        <v>0</v>
      </c>
      <c r="H230" s="1">
        <v>0</v>
      </c>
      <c r="I230" s="1">
        <v>2</v>
      </c>
      <c r="J230" s="1" t="s">
        <v>191</v>
      </c>
      <c r="K230" s="1">
        <v>26.99</v>
      </c>
      <c r="L230" s="1">
        <v>1</v>
      </c>
      <c r="M230" s="1">
        <v>0</v>
      </c>
      <c r="N230" s="1">
        <v>1</v>
      </c>
      <c r="O230" s="1">
        <v>0</v>
      </c>
      <c r="P230" s="1">
        <v>0</v>
      </c>
      <c r="Q230" s="1">
        <v>1</v>
      </c>
      <c r="R230" s="1">
        <v>1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1</v>
      </c>
      <c r="Y230" s="1">
        <v>0</v>
      </c>
      <c r="Z230" s="1">
        <v>1</v>
      </c>
      <c r="AA230">
        <v>1.6926000000000001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1</v>
      </c>
      <c r="BE230" s="1">
        <v>0</v>
      </c>
      <c r="BF230" s="1">
        <v>0</v>
      </c>
      <c r="BG230" s="1">
        <v>9</v>
      </c>
      <c r="BH230" s="1">
        <v>16155.42</v>
      </c>
      <c r="BI230" s="1">
        <v>0</v>
      </c>
      <c r="BJ230" s="1">
        <v>0</v>
      </c>
    </row>
    <row r="231" spans="1:62" x14ac:dyDescent="0.3">
      <c r="A231" s="1">
        <v>1</v>
      </c>
      <c r="B231">
        <v>230</v>
      </c>
      <c r="C231" s="1" t="s">
        <v>62</v>
      </c>
      <c r="D231">
        <v>0</v>
      </c>
      <c r="E231" s="6">
        <v>43032</v>
      </c>
      <c r="F231" s="1" t="s">
        <v>85</v>
      </c>
      <c r="G231" s="1">
        <v>0</v>
      </c>
      <c r="H231" s="1">
        <v>0</v>
      </c>
      <c r="I231" s="1">
        <v>2</v>
      </c>
      <c r="J231" s="1" t="s">
        <v>188</v>
      </c>
      <c r="K231" s="1">
        <v>35.56</v>
      </c>
      <c r="L231" s="1">
        <v>0</v>
      </c>
      <c r="M231" s="1">
        <v>0</v>
      </c>
      <c r="N231" s="1">
        <v>1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1</v>
      </c>
      <c r="V231" s="1">
        <v>0</v>
      </c>
      <c r="W231" s="1">
        <v>0</v>
      </c>
      <c r="X231" s="1">
        <v>1</v>
      </c>
      <c r="Y231" s="1">
        <v>0</v>
      </c>
      <c r="Z231" s="1">
        <v>1</v>
      </c>
      <c r="AA231">
        <v>1.3184</v>
      </c>
      <c r="AN231" s="1">
        <v>980</v>
      </c>
      <c r="AO231" s="1">
        <v>499</v>
      </c>
      <c r="AP231" s="1">
        <v>441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1</v>
      </c>
      <c r="BE231" s="1">
        <v>0</v>
      </c>
      <c r="BF231" s="1">
        <v>0</v>
      </c>
      <c r="BG231" s="1">
        <v>7</v>
      </c>
      <c r="BH231" s="1">
        <v>19118.64</v>
      </c>
      <c r="BI231" s="1">
        <v>0</v>
      </c>
      <c r="BJ231" s="1">
        <v>0</v>
      </c>
    </row>
    <row r="232" spans="1:62" x14ac:dyDescent="0.3">
      <c r="A232">
        <v>1</v>
      </c>
      <c r="B232" s="1">
        <v>231</v>
      </c>
      <c r="C232" s="1" t="s">
        <v>60</v>
      </c>
      <c r="D232">
        <v>0</v>
      </c>
      <c r="E232" s="2">
        <v>43503</v>
      </c>
      <c r="F232" t="s">
        <v>139</v>
      </c>
      <c r="G232" s="1">
        <v>0</v>
      </c>
      <c r="H232" s="1">
        <v>0</v>
      </c>
      <c r="I232" s="1">
        <v>2</v>
      </c>
      <c r="J232" s="1" t="s">
        <v>194</v>
      </c>
      <c r="K232" s="1">
        <v>22.86</v>
      </c>
      <c r="L232" s="1">
        <v>0</v>
      </c>
      <c r="M232" s="1">
        <v>1</v>
      </c>
      <c r="N232" s="1">
        <v>1</v>
      </c>
      <c r="O232" s="1">
        <v>1</v>
      </c>
      <c r="P232" s="1">
        <v>0</v>
      </c>
      <c r="Q232" s="1">
        <v>1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2</v>
      </c>
      <c r="AA232" s="1">
        <v>0.98</v>
      </c>
      <c r="AB232" s="1">
        <v>10.59</v>
      </c>
      <c r="AC232" s="1">
        <v>33</v>
      </c>
      <c r="AD232">
        <f>AB232*100/AC232</f>
        <v>32.090909090909093</v>
      </c>
      <c r="AK232">
        <v>78.599999999999994</v>
      </c>
      <c r="AL232">
        <v>61.3</v>
      </c>
      <c r="AM232">
        <v>17.5</v>
      </c>
      <c r="AQ232">
        <f t="shared" ref="AQ232:AQ240" si="3">AL232/AM232</f>
        <v>3.5028571428571427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1</v>
      </c>
      <c r="BE232" s="1">
        <v>0</v>
      </c>
      <c r="BF232" s="1">
        <v>0</v>
      </c>
      <c r="BG232" s="1">
        <v>12</v>
      </c>
      <c r="BH232">
        <f>3028.33+28.95+6550+1256+252+696+584+600+332.85</f>
        <v>13328.13</v>
      </c>
      <c r="BI232" s="1">
        <v>0</v>
      </c>
      <c r="BJ232" s="1">
        <v>0</v>
      </c>
    </row>
    <row r="233" spans="1:62" x14ac:dyDescent="0.3">
      <c r="A233">
        <v>1</v>
      </c>
      <c r="B233">
        <v>232</v>
      </c>
      <c r="C233" t="s">
        <v>75</v>
      </c>
      <c r="D233">
        <v>0</v>
      </c>
      <c r="E233" s="2" t="s">
        <v>144</v>
      </c>
      <c r="F233" s="4" t="s">
        <v>85</v>
      </c>
      <c r="G233" s="1">
        <v>0</v>
      </c>
      <c r="H233" s="1">
        <v>0</v>
      </c>
      <c r="I233" s="1">
        <v>3</v>
      </c>
      <c r="J233" s="1" t="s">
        <v>185</v>
      </c>
      <c r="K233" s="1">
        <v>22.2</v>
      </c>
      <c r="L233" s="1">
        <v>0</v>
      </c>
      <c r="M233" s="1">
        <v>1</v>
      </c>
      <c r="N233" s="1">
        <v>0</v>
      </c>
      <c r="O233" s="1">
        <v>0</v>
      </c>
      <c r="P233" s="1">
        <v>1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1</v>
      </c>
      <c r="Y233" s="1">
        <v>0</v>
      </c>
      <c r="Z233" s="1">
        <v>2</v>
      </c>
      <c r="AA233" s="1">
        <v>1.72</v>
      </c>
      <c r="AK233">
        <v>75.5</v>
      </c>
      <c r="AL233">
        <v>51.5</v>
      </c>
      <c r="AM233">
        <v>20</v>
      </c>
      <c r="AN233">
        <v>1351</v>
      </c>
      <c r="AO233">
        <v>922</v>
      </c>
      <c r="AP233">
        <v>358</v>
      </c>
      <c r="AQ233">
        <f t="shared" si="3"/>
        <v>2.5750000000000002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 s="1">
        <v>0</v>
      </c>
      <c r="BF233" s="1">
        <v>0</v>
      </c>
      <c r="BG233" s="1">
        <v>9</v>
      </c>
      <c r="BH233">
        <f>3272.87+9561+4452+400+522+396+450+338.44</f>
        <v>19392.309999999998</v>
      </c>
      <c r="BI233" s="1">
        <v>0</v>
      </c>
      <c r="BJ233" s="1">
        <v>1</v>
      </c>
    </row>
    <row r="234" spans="1:62" x14ac:dyDescent="0.3">
      <c r="A234" s="1">
        <v>1</v>
      </c>
      <c r="B234" s="1">
        <v>233</v>
      </c>
      <c r="C234" s="1" t="s">
        <v>74</v>
      </c>
      <c r="D234">
        <v>0</v>
      </c>
      <c r="E234" s="6">
        <v>43134</v>
      </c>
      <c r="F234" s="1" t="s">
        <v>53</v>
      </c>
      <c r="G234" s="1">
        <v>0</v>
      </c>
      <c r="H234" s="1">
        <v>0</v>
      </c>
      <c r="I234" s="1">
        <v>3</v>
      </c>
      <c r="J234" s="1" t="s">
        <v>187</v>
      </c>
      <c r="K234" s="1">
        <v>19.329999999999998</v>
      </c>
      <c r="L234" s="1">
        <v>0</v>
      </c>
      <c r="M234" s="1">
        <v>1</v>
      </c>
      <c r="N234" s="1">
        <v>1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2</v>
      </c>
      <c r="AA234">
        <v>1.9555199999999999</v>
      </c>
      <c r="AK234" s="1">
        <v>77.599999999999994</v>
      </c>
      <c r="AL234" s="1">
        <v>49.8</v>
      </c>
      <c r="AM234" s="1">
        <v>24.6</v>
      </c>
      <c r="AQ234">
        <f t="shared" si="3"/>
        <v>2.0243902439024386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16</v>
      </c>
      <c r="BH234">
        <v>19409.62</v>
      </c>
      <c r="BI234" s="1">
        <v>0</v>
      </c>
      <c r="BJ234" s="1">
        <v>1</v>
      </c>
    </row>
    <row r="235" spans="1:62" x14ac:dyDescent="0.3">
      <c r="A235" s="1">
        <v>1</v>
      </c>
      <c r="B235" s="1">
        <v>234</v>
      </c>
      <c r="C235" s="1" t="s">
        <v>54</v>
      </c>
      <c r="D235">
        <v>0</v>
      </c>
      <c r="E235" s="6">
        <v>42908</v>
      </c>
      <c r="F235" s="1" t="s">
        <v>67</v>
      </c>
      <c r="G235" s="1">
        <v>1</v>
      </c>
      <c r="H235" s="1">
        <v>1</v>
      </c>
      <c r="I235" s="1">
        <v>2</v>
      </c>
      <c r="J235" s="1" t="s">
        <v>190</v>
      </c>
      <c r="K235" s="1">
        <v>11.07</v>
      </c>
      <c r="L235" s="1">
        <v>1</v>
      </c>
      <c r="M235" s="1">
        <v>1</v>
      </c>
      <c r="N235" s="1">
        <v>1</v>
      </c>
      <c r="O235" s="1">
        <v>0</v>
      </c>
      <c r="P235" s="1">
        <v>1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</v>
      </c>
      <c r="X235" s="1">
        <v>0</v>
      </c>
      <c r="Y235" s="1">
        <v>1</v>
      </c>
      <c r="Z235" s="1">
        <v>2</v>
      </c>
      <c r="AA235">
        <v>1.1587200000000002</v>
      </c>
      <c r="AK235" s="1">
        <v>36</v>
      </c>
      <c r="AL235" s="1">
        <v>21.4</v>
      </c>
      <c r="AM235" s="1">
        <v>14.5</v>
      </c>
      <c r="AN235" s="1">
        <v>367</v>
      </c>
      <c r="AO235" s="1">
        <v>218</v>
      </c>
      <c r="AP235" s="1">
        <v>148</v>
      </c>
      <c r="AQ235">
        <f t="shared" si="3"/>
        <v>1.4758620689655171</v>
      </c>
      <c r="AR235" s="1">
        <v>1</v>
      </c>
      <c r="AS235" s="1">
        <v>0</v>
      </c>
      <c r="AT235" s="1">
        <v>0</v>
      </c>
      <c r="AU235" s="1">
        <v>0</v>
      </c>
      <c r="AV235" s="1">
        <v>0</v>
      </c>
      <c r="AW235" s="1">
        <v>1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4</v>
      </c>
      <c r="BE235" s="1">
        <v>0</v>
      </c>
      <c r="BF235" s="1">
        <v>0</v>
      </c>
      <c r="BG235" s="1">
        <v>5</v>
      </c>
      <c r="BH235">
        <f>9083.95+189.72+7774+1348+493+118+216+321+112.5+186.89</f>
        <v>19843.059999999998</v>
      </c>
      <c r="BI235" s="1">
        <v>0</v>
      </c>
      <c r="BJ235" s="1">
        <v>0</v>
      </c>
    </row>
    <row r="236" spans="1:62" x14ac:dyDescent="0.3">
      <c r="A236">
        <v>1</v>
      </c>
      <c r="B236">
        <v>235</v>
      </c>
      <c r="C236" s="1" t="s">
        <v>60</v>
      </c>
      <c r="D236">
        <v>0</v>
      </c>
      <c r="E236" s="2">
        <v>43499</v>
      </c>
      <c r="F236" t="s">
        <v>64</v>
      </c>
      <c r="G236" s="1">
        <v>0</v>
      </c>
      <c r="H236" s="1">
        <v>0</v>
      </c>
      <c r="I236">
        <v>2</v>
      </c>
      <c r="J236" s="1" t="s">
        <v>191</v>
      </c>
      <c r="K236" s="1">
        <v>25.82</v>
      </c>
      <c r="L236" s="1">
        <v>0</v>
      </c>
      <c r="M236" s="1">
        <v>1</v>
      </c>
      <c r="N236" s="1">
        <v>1</v>
      </c>
      <c r="O236" s="1">
        <v>0</v>
      </c>
      <c r="P236" s="1">
        <v>1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1</v>
      </c>
      <c r="X236" s="1">
        <v>0</v>
      </c>
      <c r="Y236" s="1">
        <v>0</v>
      </c>
      <c r="Z236" s="1">
        <v>2</v>
      </c>
      <c r="AA236" s="1">
        <v>0.49</v>
      </c>
      <c r="AB236" s="1">
        <v>10.83</v>
      </c>
      <c r="AC236" s="1">
        <v>21</v>
      </c>
      <c r="AD236">
        <f>AB236*100/AC236</f>
        <v>51.571428571428569</v>
      </c>
      <c r="AK236">
        <v>85.5</v>
      </c>
      <c r="AL236">
        <v>32.5</v>
      </c>
      <c r="AM236">
        <v>46.2</v>
      </c>
      <c r="AN236">
        <v>932</v>
      </c>
      <c r="AO236">
        <v>354</v>
      </c>
      <c r="AP236">
        <v>504</v>
      </c>
      <c r="AQ236">
        <f t="shared" si="3"/>
        <v>0.70346320346320346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 s="1">
        <v>0</v>
      </c>
      <c r="BF236" s="1">
        <v>0</v>
      </c>
      <c r="BG236" s="1">
        <v>22</v>
      </c>
      <c r="BH236">
        <f>7100.54+147.87+7752+535+718+1247+1118+1075+287.49</f>
        <v>19980.900000000001</v>
      </c>
      <c r="BI236" s="1">
        <v>1</v>
      </c>
      <c r="BJ236" s="1">
        <v>1</v>
      </c>
    </row>
    <row r="237" spans="1:62" x14ac:dyDescent="0.3">
      <c r="A237">
        <v>1</v>
      </c>
      <c r="B237" s="1">
        <v>236</v>
      </c>
      <c r="C237" s="1" t="s">
        <v>60</v>
      </c>
      <c r="D237">
        <v>0</v>
      </c>
      <c r="E237" s="2">
        <v>43497</v>
      </c>
      <c r="F237" t="s">
        <v>53</v>
      </c>
      <c r="G237" s="1">
        <v>0</v>
      </c>
      <c r="H237" s="1">
        <v>0</v>
      </c>
      <c r="I237" s="1">
        <v>2</v>
      </c>
      <c r="J237" s="1" t="s">
        <v>194</v>
      </c>
      <c r="K237" s="1">
        <v>19.670000000000002</v>
      </c>
      <c r="L237" s="1">
        <v>0</v>
      </c>
      <c r="M237" s="1">
        <v>1</v>
      </c>
      <c r="N237" s="1">
        <v>0</v>
      </c>
      <c r="O237" s="1">
        <v>0</v>
      </c>
      <c r="P237" s="1">
        <v>1</v>
      </c>
      <c r="Q237" s="1">
        <v>1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2</v>
      </c>
      <c r="AA237" s="1">
        <v>0.6</v>
      </c>
      <c r="AK237">
        <v>65.8</v>
      </c>
      <c r="AL237">
        <v>47.3</v>
      </c>
      <c r="AM237">
        <v>15.6</v>
      </c>
      <c r="AQ237">
        <f t="shared" si="3"/>
        <v>3.0320512820512819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1</v>
      </c>
      <c r="BE237" s="1">
        <v>0</v>
      </c>
      <c r="BF237" s="1">
        <v>0</v>
      </c>
      <c r="BG237" s="1">
        <v>17</v>
      </c>
      <c r="BH237">
        <f>4182.13+57.9+5667+2260+70+429+14+986+864+850+1021.13</f>
        <v>16401.16</v>
      </c>
      <c r="BI237" s="1">
        <v>0</v>
      </c>
      <c r="BJ237" s="1">
        <v>0</v>
      </c>
    </row>
    <row r="238" spans="1:62" x14ac:dyDescent="0.3">
      <c r="A238" s="1">
        <v>1</v>
      </c>
      <c r="B238">
        <v>237</v>
      </c>
      <c r="C238" s="1" t="s">
        <v>57</v>
      </c>
      <c r="D238">
        <v>0</v>
      </c>
      <c r="E238" s="6">
        <v>43173</v>
      </c>
      <c r="F238" s="1" t="s">
        <v>103</v>
      </c>
      <c r="G238" s="1">
        <v>0</v>
      </c>
      <c r="H238" s="1">
        <v>1</v>
      </c>
      <c r="I238" s="1">
        <v>1</v>
      </c>
      <c r="J238" s="1" t="s">
        <v>183</v>
      </c>
      <c r="K238" s="1">
        <v>18.66</v>
      </c>
      <c r="L238" s="1">
        <v>0</v>
      </c>
      <c r="M238" s="1">
        <v>1</v>
      </c>
      <c r="N238" s="1">
        <v>1</v>
      </c>
      <c r="O238" s="1">
        <v>0</v>
      </c>
      <c r="P238" s="1">
        <v>1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2</v>
      </c>
      <c r="AA238">
        <v>1.4443000000000001</v>
      </c>
      <c r="AB238" s="1">
        <v>10.95</v>
      </c>
      <c r="AC238" s="1">
        <v>21</v>
      </c>
      <c r="AD238">
        <f>AB238*100/AC238</f>
        <v>52.142857142857146</v>
      </c>
      <c r="AE238" s="1">
        <v>5</v>
      </c>
      <c r="AF238" s="1">
        <v>1046</v>
      </c>
      <c r="AG238" s="1">
        <v>18</v>
      </c>
      <c r="AH238" s="1">
        <v>91.4</v>
      </c>
      <c r="AI238" s="1">
        <v>16.899999999999999</v>
      </c>
      <c r="AJ238" s="1">
        <v>22.2</v>
      </c>
      <c r="AK238" s="1">
        <v>58</v>
      </c>
      <c r="AL238" s="1">
        <v>18.2</v>
      </c>
      <c r="AM238" s="1">
        <v>39.299999999999997</v>
      </c>
      <c r="AN238" s="1">
        <v>841</v>
      </c>
      <c r="AO238" s="1">
        <v>264</v>
      </c>
      <c r="AP238" s="1">
        <v>570</v>
      </c>
      <c r="AQ238">
        <f t="shared" si="3"/>
        <v>0.46310432569974558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8</v>
      </c>
      <c r="BH238" s="1">
        <v>20030.27</v>
      </c>
      <c r="BI238" s="1">
        <v>1</v>
      </c>
      <c r="BJ238" s="1">
        <v>1</v>
      </c>
    </row>
    <row r="239" spans="1:62" x14ac:dyDescent="0.3">
      <c r="A239">
        <v>1</v>
      </c>
      <c r="B239" s="1">
        <v>238</v>
      </c>
      <c r="C239" s="1" t="s">
        <v>60</v>
      </c>
      <c r="D239">
        <v>0</v>
      </c>
      <c r="E239" s="2">
        <v>43500</v>
      </c>
      <c r="F239" t="s">
        <v>56</v>
      </c>
      <c r="G239" s="1">
        <v>0</v>
      </c>
      <c r="H239" s="1">
        <v>0</v>
      </c>
      <c r="I239" s="1">
        <v>2</v>
      </c>
      <c r="J239" s="1" t="s">
        <v>192</v>
      </c>
      <c r="K239" s="1">
        <v>25.16</v>
      </c>
      <c r="L239" s="1">
        <v>0</v>
      </c>
      <c r="M239" s="1">
        <v>1</v>
      </c>
      <c r="N239" s="1">
        <v>1</v>
      </c>
      <c r="O239" s="1">
        <v>0</v>
      </c>
      <c r="P239" s="1">
        <v>1</v>
      </c>
      <c r="Q239" s="1">
        <v>1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2</v>
      </c>
      <c r="AA239" s="1">
        <v>0.75</v>
      </c>
      <c r="AK239">
        <v>57.6</v>
      </c>
      <c r="AL239">
        <v>29.7</v>
      </c>
      <c r="AM239">
        <v>27</v>
      </c>
      <c r="AQ239">
        <f t="shared" si="3"/>
        <v>1.0999999999999999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1</v>
      </c>
      <c r="BE239" s="1">
        <v>0</v>
      </c>
      <c r="BF239" s="1">
        <v>0</v>
      </c>
      <c r="BG239" s="1">
        <v>7</v>
      </c>
      <c r="BH239">
        <f>2012.08+25.72+4257+280+72+377+273+325+31.5</f>
        <v>7653.3</v>
      </c>
      <c r="BI239" s="1">
        <v>1</v>
      </c>
      <c r="BJ239" s="1">
        <v>0</v>
      </c>
    </row>
    <row r="240" spans="1:62" x14ac:dyDescent="0.3">
      <c r="A240">
        <v>1</v>
      </c>
      <c r="B240" s="1">
        <v>239</v>
      </c>
      <c r="C240" t="s">
        <v>57</v>
      </c>
      <c r="D240">
        <v>0</v>
      </c>
      <c r="E240" s="2">
        <v>43486</v>
      </c>
      <c r="F240" t="s">
        <v>85</v>
      </c>
      <c r="G240" s="1">
        <v>0</v>
      </c>
      <c r="H240" s="1">
        <v>0</v>
      </c>
      <c r="I240" s="1">
        <v>2</v>
      </c>
      <c r="J240" s="1" t="s">
        <v>192</v>
      </c>
      <c r="K240" s="1">
        <v>24.74</v>
      </c>
      <c r="L240" s="1">
        <v>2</v>
      </c>
      <c r="M240" s="1">
        <v>1</v>
      </c>
      <c r="N240" s="1">
        <v>0</v>
      </c>
      <c r="O240" s="1">
        <v>1</v>
      </c>
      <c r="P240" s="1">
        <v>0</v>
      </c>
      <c r="Q240" s="1">
        <v>1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1</v>
      </c>
      <c r="Y240" s="1">
        <v>0</v>
      </c>
      <c r="Z240" s="1">
        <v>1</v>
      </c>
      <c r="AA240" s="1">
        <v>0.6</v>
      </c>
      <c r="AK240">
        <v>89.7</v>
      </c>
      <c r="AL240">
        <v>65.7</v>
      </c>
      <c r="AM240">
        <v>23.4</v>
      </c>
      <c r="AN240">
        <v>538</v>
      </c>
      <c r="AO240">
        <v>394</v>
      </c>
      <c r="AP240">
        <v>140</v>
      </c>
      <c r="AQ240">
        <f t="shared" si="3"/>
        <v>2.8076923076923079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2</v>
      </c>
      <c r="BE240" s="1">
        <v>0</v>
      </c>
      <c r="BF240" s="1">
        <v>0</v>
      </c>
      <c r="BG240" s="1">
        <v>5</v>
      </c>
      <c r="BH240">
        <f>2588.51+3684+30+53+290+210+250+399.64</f>
        <v>7505.1500000000005</v>
      </c>
      <c r="BI240" s="1">
        <v>1</v>
      </c>
      <c r="BJ240" s="1">
        <v>0</v>
      </c>
    </row>
    <row r="241" spans="1:62" x14ac:dyDescent="0.3">
      <c r="A241">
        <v>1</v>
      </c>
      <c r="B241">
        <v>240</v>
      </c>
      <c r="C241" t="s">
        <v>57</v>
      </c>
      <c r="D241">
        <v>0</v>
      </c>
      <c r="E241" s="2">
        <v>43514</v>
      </c>
      <c r="F241" t="s">
        <v>53</v>
      </c>
      <c r="G241" s="1">
        <v>0</v>
      </c>
      <c r="H241" s="1">
        <v>1</v>
      </c>
      <c r="I241" s="1">
        <v>2</v>
      </c>
      <c r="J241" s="1" t="s">
        <v>195</v>
      </c>
      <c r="K241" s="1">
        <v>25.26</v>
      </c>
      <c r="L241" s="1">
        <v>2</v>
      </c>
      <c r="M241" s="1">
        <v>1</v>
      </c>
      <c r="N241" s="1">
        <v>1</v>
      </c>
      <c r="O241" s="1">
        <v>1</v>
      </c>
      <c r="P241" s="1">
        <v>0</v>
      </c>
      <c r="Q241" s="1">
        <v>0</v>
      </c>
      <c r="R241" s="1">
        <v>0</v>
      </c>
      <c r="S241" s="1">
        <v>0</v>
      </c>
      <c r="T241" s="1">
        <v>1</v>
      </c>
      <c r="U241" s="1">
        <v>0</v>
      </c>
      <c r="V241" s="1">
        <v>0</v>
      </c>
      <c r="W241" s="1">
        <v>0</v>
      </c>
      <c r="X241" s="1">
        <v>0</v>
      </c>
      <c r="Y241" s="1">
        <v>1</v>
      </c>
      <c r="Z241" s="1">
        <v>2</v>
      </c>
      <c r="AA241" s="1">
        <v>1.29</v>
      </c>
      <c r="AB241" s="1">
        <v>9.2100000000000009</v>
      </c>
      <c r="AC241" s="1">
        <v>41</v>
      </c>
      <c r="AD241">
        <f>AB241*100/AC241</f>
        <v>22.463414634146343</v>
      </c>
      <c r="AE241" s="1">
        <v>5</v>
      </c>
      <c r="AF241" s="1">
        <v>772</v>
      </c>
      <c r="AG241" s="1">
        <v>6.56</v>
      </c>
      <c r="AH241" s="1">
        <v>63</v>
      </c>
      <c r="AI241" s="1">
        <v>5</v>
      </c>
      <c r="AJ241" s="1">
        <v>4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1</v>
      </c>
      <c r="BE241" s="1">
        <v>0</v>
      </c>
      <c r="BF241" s="1">
        <v>0</v>
      </c>
      <c r="BG241" s="1">
        <v>15</v>
      </c>
      <c r="BH241">
        <f>6372.28+6867+2940+70+491+720+870+1154+750+122.34</f>
        <v>20356.62</v>
      </c>
      <c r="BI241" s="1">
        <v>0</v>
      </c>
      <c r="BJ241" s="1">
        <v>1</v>
      </c>
    </row>
    <row r="242" spans="1:62" x14ac:dyDescent="0.3">
      <c r="A242" s="1">
        <v>1</v>
      </c>
      <c r="B242" s="1">
        <v>241</v>
      </c>
      <c r="C242" s="1" t="s">
        <v>71</v>
      </c>
      <c r="D242">
        <v>0</v>
      </c>
      <c r="E242" s="6">
        <v>43080</v>
      </c>
      <c r="F242" s="1" t="s">
        <v>88</v>
      </c>
      <c r="G242" s="1">
        <v>0</v>
      </c>
      <c r="H242" s="1">
        <v>0</v>
      </c>
      <c r="I242" s="1">
        <v>2</v>
      </c>
      <c r="J242" s="1" t="s">
        <v>193</v>
      </c>
      <c r="K242" s="1">
        <v>23.18</v>
      </c>
      <c r="L242" s="1">
        <v>0</v>
      </c>
      <c r="M242" s="1">
        <v>1</v>
      </c>
      <c r="N242" s="1">
        <v>1</v>
      </c>
      <c r="O242" s="1">
        <v>0</v>
      </c>
      <c r="P242" s="1">
        <v>1</v>
      </c>
      <c r="Q242" s="1">
        <v>1</v>
      </c>
      <c r="R242" s="1">
        <v>1</v>
      </c>
      <c r="S242" s="1">
        <v>0</v>
      </c>
      <c r="T242" s="1">
        <v>0</v>
      </c>
      <c r="U242" s="1">
        <v>0</v>
      </c>
      <c r="V242" s="1">
        <v>1</v>
      </c>
      <c r="W242" s="1">
        <v>0</v>
      </c>
      <c r="X242" s="1">
        <v>0</v>
      </c>
      <c r="Y242" s="1">
        <v>1</v>
      </c>
      <c r="Z242" s="1">
        <v>2</v>
      </c>
      <c r="AA242">
        <v>1.7275200000000002</v>
      </c>
      <c r="AB242" s="1">
        <v>10.25</v>
      </c>
      <c r="AC242" s="1">
        <v>29</v>
      </c>
      <c r="AD242">
        <f>AB242*100/AC242</f>
        <v>35.344827586206897</v>
      </c>
      <c r="AG242" s="1">
        <v>2.97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1</v>
      </c>
      <c r="BC242" s="1">
        <v>0</v>
      </c>
      <c r="BD242" s="1">
        <v>1</v>
      </c>
      <c r="BE242" s="1">
        <v>0</v>
      </c>
      <c r="BF242" s="1">
        <v>0</v>
      </c>
      <c r="BG242" s="1">
        <v>24</v>
      </c>
      <c r="BH242" s="1">
        <v>98544.78</v>
      </c>
      <c r="BI242" s="1">
        <v>0</v>
      </c>
      <c r="BJ242" s="1">
        <v>0</v>
      </c>
    </row>
    <row r="243" spans="1:62" x14ac:dyDescent="0.3">
      <c r="A243">
        <v>1</v>
      </c>
      <c r="B243">
        <v>242</v>
      </c>
      <c r="C243" t="s">
        <v>54</v>
      </c>
      <c r="D243">
        <v>0</v>
      </c>
      <c r="E243" s="2" t="s">
        <v>160</v>
      </c>
      <c r="F243" s="4" t="s">
        <v>121</v>
      </c>
      <c r="G243" s="1">
        <v>0</v>
      </c>
      <c r="H243" s="1">
        <v>0</v>
      </c>
      <c r="I243" s="1">
        <v>2</v>
      </c>
      <c r="J243" s="1" t="s">
        <v>193</v>
      </c>
      <c r="K243" s="1">
        <v>23.18</v>
      </c>
      <c r="L243" s="1">
        <v>0</v>
      </c>
      <c r="M243" s="1">
        <v>1</v>
      </c>
      <c r="N243" s="1">
        <v>1</v>
      </c>
      <c r="O243" s="1">
        <v>0</v>
      </c>
      <c r="P243" s="1">
        <v>0</v>
      </c>
      <c r="Q243" s="1">
        <v>1</v>
      </c>
      <c r="R243" s="1">
        <v>1</v>
      </c>
      <c r="S243" s="1">
        <v>0</v>
      </c>
      <c r="T243" s="1">
        <v>0</v>
      </c>
      <c r="U243" s="1">
        <v>0</v>
      </c>
      <c r="V243" s="1">
        <v>1</v>
      </c>
      <c r="W243" s="1">
        <v>0</v>
      </c>
      <c r="X243" s="1">
        <v>0</v>
      </c>
      <c r="Y243" s="1">
        <v>1</v>
      </c>
      <c r="Z243" s="1">
        <v>1</v>
      </c>
      <c r="AA243" s="1">
        <v>1.03</v>
      </c>
      <c r="AK243">
        <v>63.8</v>
      </c>
      <c r="AL243">
        <v>28.9</v>
      </c>
      <c r="AM243">
        <v>33.9</v>
      </c>
      <c r="AQ243">
        <f>AL243/AM243</f>
        <v>0.85250737463126847</v>
      </c>
      <c r="AR243">
        <v>1</v>
      </c>
      <c r="AS243">
        <v>0</v>
      </c>
      <c r="AT243">
        <v>1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1</v>
      </c>
      <c r="BE243" s="1">
        <v>0</v>
      </c>
      <c r="BF243" s="1">
        <v>0</v>
      </c>
      <c r="BG243" s="1">
        <v>10</v>
      </c>
      <c r="BH243">
        <f>5706.94+139.44+2918+140+373+1297+950+399+475+113.4</f>
        <v>12511.779999999999</v>
      </c>
      <c r="BI243" s="1">
        <v>0</v>
      </c>
      <c r="BJ243" s="1">
        <v>0</v>
      </c>
    </row>
    <row r="244" spans="1:62" x14ac:dyDescent="0.3">
      <c r="A244">
        <v>1</v>
      </c>
      <c r="B244" s="1">
        <v>243</v>
      </c>
      <c r="C244" t="s">
        <v>54</v>
      </c>
      <c r="D244">
        <v>0</v>
      </c>
      <c r="E244" s="2" t="s">
        <v>144</v>
      </c>
      <c r="F244" s="4" t="s">
        <v>123</v>
      </c>
      <c r="G244" s="1">
        <v>0</v>
      </c>
      <c r="H244" s="1">
        <v>1</v>
      </c>
      <c r="I244" s="1">
        <v>2</v>
      </c>
      <c r="J244" s="1" t="s">
        <v>192</v>
      </c>
      <c r="K244" s="1">
        <v>13.33</v>
      </c>
      <c r="L244" s="1">
        <v>0</v>
      </c>
      <c r="M244" s="1">
        <v>1</v>
      </c>
      <c r="N244" s="1">
        <v>1</v>
      </c>
      <c r="O244" s="1">
        <v>1</v>
      </c>
      <c r="P244" s="1">
        <v>1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2</v>
      </c>
      <c r="AA244" s="1">
        <v>0.18</v>
      </c>
      <c r="AB244" s="1">
        <v>10.29</v>
      </c>
      <c r="AC244" s="1">
        <v>33</v>
      </c>
      <c r="AD244">
        <f>AB244*100/AC244</f>
        <v>31.181818181818183</v>
      </c>
      <c r="AE244" s="1">
        <v>5</v>
      </c>
      <c r="AF244" s="1">
        <v>2435</v>
      </c>
      <c r="AG244" s="1">
        <v>126</v>
      </c>
      <c r="AH244" s="1">
        <v>9.43</v>
      </c>
      <c r="AI244" s="1">
        <v>5.8</v>
      </c>
      <c r="AJ244" s="1">
        <v>13</v>
      </c>
      <c r="AK244" s="1">
        <v>64.2</v>
      </c>
      <c r="AL244" s="1">
        <v>42.5</v>
      </c>
      <c r="AM244" s="1">
        <v>18</v>
      </c>
      <c r="AQ244">
        <f>AL244/AM244</f>
        <v>2.3611111111111112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1</v>
      </c>
      <c r="BE244" s="1">
        <v>1</v>
      </c>
      <c r="BF244" s="1">
        <v>1</v>
      </c>
      <c r="BG244" s="1">
        <v>10</v>
      </c>
      <c r="BH244">
        <f>8420.77+6618+499+140+1356+384+1980+292+774.59</f>
        <v>20464.36</v>
      </c>
      <c r="BI244" s="1">
        <v>0</v>
      </c>
      <c r="BJ244" s="1">
        <v>0</v>
      </c>
    </row>
    <row r="245" spans="1:62" x14ac:dyDescent="0.3">
      <c r="A245" s="1">
        <v>1</v>
      </c>
      <c r="B245" s="1">
        <v>244</v>
      </c>
      <c r="C245" s="1" t="s">
        <v>60</v>
      </c>
      <c r="D245">
        <v>0</v>
      </c>
      <c r="E245" s="6">
        <v>43112</v>
      </c>
      <c r="F245" s="1" t="s">
        <v>53</v>
      </c>
      <c r="G245" s="1">
        <v>0</v>
      </c>
      <c r="H245" s="1">
        <v>0</v>
      </c>
      <c r="I245" s="1">
        <v>2</v>
      </c>
      <c r="J245" s="1" t="s">
        <v>195</v>
      </c>
      <c r="K245" s="1">
        <v>27.68</v>
      </c>
      <c r="L245" s="1">
        <v>2</v>
      </c>
      <c r="M245" s="1">
        <v>1</v>
      </c>
      <c r="N245" s="1">
        <v>1</v>
      </c>
      <c r="O245" s="1">
        <v>1</v>
      </c>
      <c r="P245" s="1">
        <v>0</v>
      </c>
      <c r="Q245" s="1">
        <v>0</v>
      </c>
      <c r="R245" s="1">
        <v>0</v>
      </c>
      <c r="S245" s="1">
        <v>0</v>
      </c>
      <c r="T245" s="1">
        <v>1</v>
      </c>
      <c r="U245" s="1">
        <v>0</v>
      </c>
      <c r="V245" s="1">
        <v>0</v>
      </c>
      <c r="W245" s="1">
        <v>1</v>
      </c>
      <c r="X245" s="1">
        <v>0</v>
      </c>
      <c r="Y245" s="1">
        <v>1</v>
      </c>
      <c r="Z245" s="1">
        <v>2</v>
      </c>
      <c r="AA245">
        <v>1.296</v>
      </c>
      <c r="AB245" s="1">
        <v>13.61</v>
      </c>
      <c r="AC245" s="1">
        <v>21</v>
      </c>
      <c r="AD245">
        <f>AB245*100/AC245</f>
        <v>64.80952380952381</v>
      </c>
      <c r="AE245" s="1">
        <v>5</v>
      </c>
      <c r="AF245" s="1">
        <v>612</v>
      </c>
      <c r="AG245" s="1">
        <v>8.6300000000000008</v>
      </c>
      <c r="AH245" s="1">
        <v>176</v>
      </c>
      <c r="AI245" s="1">
        <v>13.1</v>
      </c>
      <c r="AJ245" s="1">
        <v>12.5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1</v>
      </c>
      <c r="BE245" s="1">
        <v>0</v>
      </c>
      <c r="BF245" s="1">
        <v>0</v>
      </c>
      <c r="BG245" s="1">
        <v>18</v>
      </c>
      <c r="BH245" s="1">
        <v>20588.04</v>
      </c>
      <c r="BI245" s="1">
        <v>0</v>
      </c>
      <c r="BJ245" s="1">
        <v>1</v>
      </c>
    </row>
    <row r="246" spans="1:62" x14ac:dyDescent="0.3">
      <c r="A246" s="1">
        <v>1</v>
      </c>
      <c r="B246">
        <v>245</v>
      </c>
      <c r="C246" s="1" t="s">
        <v>96</v>
      </c>
      <c r="D246">
        <v>0</v>
      </c>
      <c r="E246" s="6">
        <v>43080</v>
      </c>
      <c r="F246" s="1" t="s">
        <v>88</v>
      </c>
      <c r="G246" s="1">
        <v>0</v>
      </c>
      <c r="H246" s="1">
        <v>0</v>
      </c>
      <c r="I246" s="1">
        <v>2</v>
      </c>
      <c r="J246" s="1" t="s">
        <v>193</v>
      </c>
      <c r="K246" s="1">
        <v>23.18</v>
      </c>
      <c r="L246" s="1">
        <v>0</v>
      </c>
      <c r="M246" s="1">
        <v>1</v>
      </c>
      <c r="N246" s="1">
        <v>1</v>
      </c>
      <c r="O246" s="1">
        <v>0</v>
      </c>
      <c r="P246" s="1">
        <v>1</v>
      </c>
      <c r="Q246" s="1">
        <v>1</v>
      </c>
      <c r="R246" s="1">
        <v>1</v>
      </c>
      <c r="S246" s="1">
        <v>0</v>
      </c>
      <c r="T246" s="1">
        <v>0</v>
      </c>
      <c r="U246" s="1">
        <v>0</v>
      </c>
      <c r="V246" s="1">
        <v>1</v>
      </c>
      <c r="W246" s="1">
        <v>0</v>
      </c>
      <c r="X246" s="1">
        <v>0</v>
      </c>
      <c r="Y246" s="1">
        <v>1</v>
      </c>
      <c r="Z246" s="1">
        <v>2</v>
      </c>
      <c r="AA246">
        <v>0.49179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1</v>
      </c>
      <c r="BC246" s="1">
        <v>0</v>
      </c>
      <c r="BD246" s="1">
        <v>1</v>
      </c>
      <c r="BE246" s="1">
        <v>0</v>
      </c>
      <c r="BF246" s="1">
        <v>0</v>
      </c>
      <c r="BG246" s="1">
        <v>25</v>
      </c>
      <c r="BH246" s="1">
        <v>17922.939999999999</v>
      </c>
      <c r="BI246" s="1">
        <v>0</v>
      </c>
      <c r="BJ246" s="1">
        <v>0</v>
      </c>
    </row>
    <row r="247" spans="1:62" x14ac:dyDescent="0.3">
      <c r="A247">
        <v>1</v>
      </c>
      <c r="B247" s="1">
        <v>246</v>
      </c>
      <c r="C247" t="s">
        <v>54</v>
      </c>
      <c r="D247">
        <v>0</v>
      </c>
      <c r="E247" s="2" t="s">
        <v>146</v>
      </c>
      <c r="F247" s="4" t="s">
        <v>56</v>
      </c>
      <c r="G247" s="1">
        <v>1</v>
      </c>
      <c r="H247" s="1">
        <v>1</v>
      </c>
      <c r="I247" s="1">
        <v>2</v>
      </c>
      <c r="J247" s="1" t="s">
        <v>194</v>
      </c>
      <c r="K247" s="1">
        <v>17.72</v>
      </c>
      <c r="L247" s="1">
        <v>1</v>
      </c>
      <c r="M247" s="1">
        <v>1</v>
      </c>
      <c r="N247" s="1">
        <v>1</v>
      </c>
      <c r="O247" s="1">
        <v>1</v>
      </c>
      <c r="P247" s="1">
        <v>0</v>
      </c>
      <c r="Q247" s="1">
        <v>0</v>
      </c>
      <c r="R247" s="1">
        <v>1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1</v>
      </c>
      <c r="Z247" s="1">
        <v>2</v>
      </c>
      <c r="AA247" s="1">
        <v>0.43</v>
      </c>
      <c r="AB247" s="1">
        <v>19.36</v>
      </c>
      <c r="AC247" s="1">
        <v>100</v>
      </c>
      <c r="AD247">
        <f>AB247*100/AC247</f>
        <v>19.36</v>
      </c>
      <c r="AR247">
        <v>1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1</v>
      </c>
      <c r="BE247" s="1">
        <v>1</v>
      </c>
      <c r="BF247" s="1">
        <v>0</v>
      </c>
      <c r="BG247" s="1">
        <v>8</v>
      </c>
      <c r="BH247">
        <f>12734.31+2752+1120+70+2290+576+435+339+375+73.5</f>
        <v>20764.809999999998</v>
      </c>
      <c r="BI247" s="1">
        <v>0</v>
      </c>
      <c r="BJ247" s="1">
        <v>1</v>
      </c>
    </row>
    <row r="248" spans="1:62" x14ac:dyDescent="0.3">
      <c r="A248" s="1">
        <v>1</v>
      </c>
      <c r="B248">
        <v>247</v>
      </c>
      <c r="C248" s="1" t="s">
        <v>54</v>
      </c>
      <c r="D248">
        <v>0</v>
      </c>
      <c r="E248" s="6">
        <v>42723</v>
      </c>
      <c r="F248" s="1" t="s">
        <v>64</v>
      </c>
      <c r="G248" s="1">
        <v>0</v>
      </c>
      <c r="H248" s="1">
        <v>0</v>
      </c>
      <c r="I248" s="1">
        <v>3</v>
      </c>
      <c r="J248" s="1" t="s">
        <v>190</v>
      </c>
      <c r="K248" s="1">
        <v>22.92</v>
      </c>
      <c r="L248" s="1">
        <v>1</v>
      </c>
      <c r="M248" s="1">
        <v>0</v>
      </c>
      <c r="N248" s="1">
        <v>1</v>
      </c>
      <c r="O248" s="1">
        <v>1</v>
      </c>
      <c r="P248" s="1">
        <v>0</v>
      </c>
      <c r="Q248" s="1">
        <v>0</v>
      </c>
      <c r="R248" s="1">
        <v>0</v>
      </c>
      <c r="S248" s="1">
        <v>1</v>
      </c>
      <c r="T248" s="1">
        <v>1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2</v>
      </c>
      <c r="AA248">
        <v>1.43808</v>
      </c>
      <c r="AB248" s="1">
        <v>14.9</v>
      </c>
      <c r="AC248" s="1">
        <v>21</v>
      </c>
      <c r="AD248">
        <f>AB248*100/AC248</f>
        <v>70.952380952380949</v>
      </c>
      <c r="AE248" s="1">
        <v>5</v>
      </c>
      <c r="AF248" s="1">
        <v>7500</v>
      </c>
      <c r="AG248" s="1">
        <v>11.9</v>
      </c>
      <c r="AH248" s="1">
        <v>35.700000000000003</v>
      </c>
      <c r="AI248" s="1">
        <v>43.9</v>
      </c>
      <c r="AJ248" s="1">
        <v>23.1</v>
      </c>
      <c r="AK248" s="1">
        <v>76.900000000000006</v>
      </c>
      <c r="AL248" s="1">
        <v>36</v>
      </c>
      <c r="AM248" s="1">
        <v>38.200000000000003</v>
      </c>
      <c r="AN248" s="1">
        <v>1030</v>
      </c>
      <c r="AO248" s="1">
        <v>482</v>
      </c>
      <c r="AP248" s="1">
        <v>512</v>
      </c>
      <c r="AQ248">
        <f>AL248/AM248</f>
        <v>0.94240837696335067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9</v>
      </c>
      <c r="BH248" s="1">
        <v>20782.740000000002</v>
      </c>
      <c r="BI248" s="1">
        <v>1</v>
      </c>
      <c r="BJ248" s="1">
        <v>1</v>
      </c>
    </row>
    <row r="249" spans="1:62" x14ac:dyDescent="0.3">
      <c r="A249">
        <v>1</v>
      </c>
      <c r="B249" s="1">
        <v>248</v>
      </c>
      <c r="C249" s="1" t="s">
        <v>60</v>
      </c>
      <c r="D249">
        <v>0</v>
      </c>
      <c r="E249" s="2">
        <v>43509</v>
      </c>
      <c r="F249" t="s">
        <v>139</v>
      </c>
      <c r="G249" s="1">
        <v>0</v>
      </c>
      <c r="H249" s="1">
        <v>0</v>
      </c>
      <c r="I249" s="1">
        <v>2</v>
      </c>
      <c r="J249" s="1" t="s">
        <v>193</v>
      </c>
      <c r="K249" s="1">
        <v>25.43</v>
      </c>
      <c r="L249" s="1">
        <v>0</v>
      </c>
      <c r="M249" s="1">
        <v>0</v>
      </c>
      <c r="N249" s="1">
        <v>0</v>
      </c>
      <c r="O249" s="1">
        <v>0</v>
      </c>
      <c r="P249" s="1">
        <v>1</v>
      </c>
      <c r="Q249" s="1">
        <v>0</v>
      </c>
      <c r="R249" s="1">
        <v>0</v>
      </c>
      <c r="S249" s="1">
        <v>0</v>
      </c>
      <c r="T249" s="1">
        <v>0</v>
      </c>
      <c r="U249" s="1">
        <v>1</v>
      </c>
      <c r="V249" s="1">
        <v>0</v>
      </c>
      <c r="W249" s="1">
        <v>0</v>
      </c>
      <c r="X249" s="1">
        <v>0</v>
      </c>
      <c r="Y249" s="1">
        <v>0</v>
      </c>
      <c r="Z249" s="1">
        <v>2</v>
      </c>
      <c r="AA249" s="1">
        <v>1.01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1</v>
      </c>
      <c r="BE249" s="1">
        <v>0</v>
      </c>
      <c r="BF249" s="1">
        <v>0</v>
      </c>
      <c r="BG249" s="1">
        <v>22</v>
      </c>
      <c r="BH249">
        <f>5940.75+1838.34+8120+650+399+1247+1113+1075+566.4</f>
        <v>20949.490000000002</v>
      </c>
      <c r="BI249" s="1">
        <v>0</v>
      </c>
      <c r="BJ249" s="1">
        <v>0</v>
      </c>
    </row>
    <row r="250" spans="1:62" x14ac:dyDescent="0.3">
      <c r="A250">
        <v>1</v>
      </c>
      <c r="B250" s="1">
        <v>249</v>
      </c>
      <c r="C250" s="1" t="s">
        <v>136</v>
      </c>
      <c r="D250">
        <v>1</v>
      </c>
      <c r="E250" s="2">
        <v>43496</v>
      </c>
      <c r="F250" t="s">
        <v>64</v>
      </c>
      <c r="G250" s="1">
        <v>0</v>
      </c>
      <c r="H250" s="1">
        <v>0</v>
      </c>
      <c r="I250" s="1">
        <v>2</v>
      </c>
      <c r="J250" s="1" t="s">
        <v>196</v>
      </c>
      <c r="K250" s="1">
        <v>25.71</v>
      </c>
      <c r="L250" s="1">
        <v>0</v>
      </c>
      <c r="M250" s="1">
        <v>1</v>
      </c>
      <c r="N250" s="1">
        <v>1</v>
      </c>
      <c r="O250" s="1">
        <v>0</v>
      </c>
      <c r="P250" s="1">
        <v>1</v>
      </c>
      <c r="Q250" s="1">
        <v>1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1">
        <v>0</v>
      </c>
      <c r="Z250" s="1">
        <v>1</v>
      </c>
      <c r="AA250" s="1">
        <v>0.87</v>
      </c>
      <c r="AB250" s="1">
        <v>13.62</v>
      </c>
      <c r="AC250" s="1">
        <v>41</v>
      </c>
      <c r="AD250">
        <f>AB250*100/AC250</f>
        <v>33.219512195121951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1</v>
      </c>
      <c r="BE250" s="1">
        <v>0</v>
      </c>
      <c r="BF250" s="1">
        <v>0</v>
      </c>
      <c r="BG250" s="1">
        <v>9</v>
      </c>
      <c r="BH250">
        <f>5677+28.95+7329.32+2683+140+598+432+522+448+450+222.18</f>
        <v>18530.45</v>
      </c>
      <c r="BI250" s="1">
        <v>0</v>
      </c>
      <c r="BJ250" s="1">
        <v>1</v>
      </c>
    </row>
    <row r="251" spans="1:62" x14ac:dyDescent="0.3">
      <c r="A251" s="1">
        <v>1</v>
      </c>
      <c r="B251">
        <v>250</v>
      </c>
      <c r="C251" s="1" t="s">
        <v>96</v>
      </c>
      <c r="D251">
        <v>0</v>
      </c>
      <c r="E251" s="6">
        <v>43137</v>
      </c>
      <c r="F251" s="1" t="s">
        <v>99</v>
      </c>
      <c r="G251" s="1">
        <v>0</v>
      </c>
      <c r="H251" s="1">
        <v>0</v>
      </c>
      <c r="I251" s="1">
        <v>2</v>
      </c>
      <c r="J251" s="1" t="s">
        <v>195</v>
      </c>
      <c r="K251" s="1">
        <v>21.48</v>
      </c>
      <c r="L251" s="1">
        <v>2</v>
      </c>
      <c r="M251" s="1">
        <v>1</v>
      </c>
      <c r="N251" s="1">
        <v>1</v>
      </c>
      <c r="O251" s="1">
        <v>0</v>
      </c>
      <c r="P251" s="1">
        <v>1</v>
      </c>
      <c r="Q251" s="1">
        <v>1</v>
      </c>
      <c r="R251" s="1">
        <v>1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1">
        <v>0</v>
      </c>
      <c r="Z251" s="1">
        <v>2</v>
      </c>
      <c r="AA251">
        <v>6.1381499999999996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3</v>
      </c>
      <c r="BE251" s="1">
        <v>0</v>
      </c>
      <c r="BF251" s="1">
        <v>0</v>
      </c>
      <c r="BG251" s="1">
        <v>66</v>
      </c>
      <c r="BH251" s="1">
        <v>63196.69</v>
      </c>
      <c r="BI251" s="1">
        <v>1</v>
      </c>
      <c r="BJ251" s="1">
        <v>0</v>
      </c>
    </row>
    <row r="252" spans="1:62" x14ac:dyDescent="0.3">
      <c r="A252" s="1">
        <v>1</v>
      </c>
      <c r="B252" s="1">
        <v>251</v>
      </c>
      <c r="C252" s="1" t="s">
        <v>74</v>
      </c>
      <c r="D252">
        <v>0</v>
      </c>
      <c r="E252" s="6">
        <v>43238</v>
      </c>
      <c r="F252" s="1" t="s">
        <v>103</v>
      </c>
      <c r="G252" s="1">
        <v>0</v>
      </c>
      <c r="H252" s="1">
        <v>0</v>
      </c>
      <c r="I252" s="1">
        <v>3</v>
      </c>
      <c r="J252" s="1" t="s">
        <v>186</v>
      </c>
      <c r="K252" s="1">
        <v>20.81</v>
      </c>
      <c r="L252" s="1">
        <v>0</v>
      </c>
      <c r="M252" s="1">
        <v>1</v>
      </c>
      <c r="N252" s="1">
        <v>1</v>
      </c>
      <c r="O252" s="1">
        <v>0</v>
      </c>
      <c r="P252" s="1">
        <v>1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2</v>
      </c>
      <c r="AA252">
        <v>1.2102999999999999</v>
      </c>
      <c r="AB252" s="1">
        <v>13.38</v>
      </c>
      <c r="AC252" s="1">
        <v>21</v>
      </c>
      <c r="AD252">
        <f>AB252*100/AC252</f>
        <v>63.714285714285715</v>
      </c>
      <c r="AE252" s="1">
        <v>12.2</v>
      </c>
      <c r="AF252" s="1">
        <v>1256</v>
      </c>
      <c r="AG252" s="1">
        <v>3.41</v>
      </c>
      <c r="AH252" s="1">
        <v>80.8</v>
      </c>
      <c r="AI252" s="1">
        <v>24.8</v>
      </c>
      <c r="AJ252" s="1">
        <v>21.4</v>
      </c>
      <c r="AK252" s="1">
        <v>74.3</v>
      </c>
      <c r="AL252" s="1">
        <v>24.2</v>
      </c>
      <c r="AM252" s="1">
        <v>48.6</v>
      </c>
      <c r="AN252" s="1">
        <v>780</v>
      </c>
      <c r="AO252" s="1">
        <v>254</v>
      </c>
      <c r="AP252" s="1">
        <v>510</v>
      </c>
      <c r="AQ252">
        <f>AL252/AM252</f>
        <v>0.49794238683127567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2</v>
      </c>
      <c r="BE252" s="1">
        <v>0</v>
      </c>
      <c r="BF252" s="1">
        <v>0</v>
      </c>
      <c r="BG252" s="1">
        <v>11</v>
      </c>
      <c r="BH252" s="1">
        <v>21253.57</v>
      </c>
      <c r="BI252" s="1">
        <v>1</v>
      </c>
      <c r="BJ252" s="1">
        <v>1</v>
      </c>
    </row>
    <row r="253" spans="1:62" x14ac:dyDescent="0.3">
      <c r="A253" s="1">
        <v>1</v>
      </c>
      <c r="B253">
        <v>252</v>
      </c>
      <c r="C253" s="1" t="s">
        <v>49</v>
      </c>
      <c r="D253">
        <v>0</v>
      </c>
      <c r="E253" s="6">
        <v>43054</v>
      </c>
      <c r="F253" s="1" t="s">
        <v>85</v>
      </c>
      <c r="G253" s="1">
        <v>0</v>
      </c>
      <c r="H253" s="1">
        <v>0</v>
      </c>
      <c r="I253" s="1">
        <v>1</v>
      </c>
      <c r="J253" s="1" t="s">
        <v>183</v>
      </c>
      <c r="K253" s="1">
        <v>24.26</v>
      </c>
      <c r="L253" s="1">
        <v>0</v>
      </c>
      <c r="M253" s="1">
        <v>1</v>
      </c>
      <c r="N253" s="1">
        <v>1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1</v>
      </c>
      <c r="Y253" s="1">
        <v>0</v>
      </c>
      <c r="Z253" s="1">
        <v>1</v>
      </c>
      <c r="AA253">
        <v>1.3593000000000002</v>
      </c>
      <c r="AN253" s="1">
        <v>1145</v>
      </c>
      <c r="AO253" s="1">
        <v>617</v>
      </c>
      <c r="AP253" s="1">
        <v>479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10</v>
      </c>
      <c r="BH253" s="1">
        <v>21285.26</v>
      </c>
      <c r="BI253" s="1">
        <v>0</v>
      </c>
      <c r="BJ253" s="1">
        <v>0</v>
      </c>
    </row>
    <row r="254" spans="1:62" x14ac:dyDescent="0.3">
      <c r="A254" s="1">
        <v>1</v>
      </c>
      <c r="B254" s="1">
        <v>253</v>
      </c>
      <c r="C254" s="1" t="s">
        <v>74</v>
      </c>
      <c r="D254">
        <v>0</v>
      </c>
      <c r="E254" s="6">
        <v>42985</v>
      </c>
      <c r="F254" s="1" t="s">
        <v>88</v>
      </c>
      <c r="G254" s="1">
        <v>0</v>
      </c>
      <c r="H254" s="1">
        <v>0</v>
      </c>
      <c r="I254" s="1">
        <v>2</v>
      </c>
      <c r="J254" s="1" t="s">
        <v>191</v>
      </c>
      <c r="K254" s="1">
        <v>23.15</v>
      </c>
      <c r="L254" s="1">
        <v>0</v>
      </c>
      <c r="M254" s="1">
        <v>1</v>
      </c>
      <c r="N254" s="1">
        <v>1</v>
      </c>
      <c r="O254" s="1">
        <v>0</v>
      </c>
      <c r="P254" s="1">
        <v>1</v>
      </c>
      <c r="Q254" s="1">
        <v>0</v>
      </c>
      <c r="R254" s="1">
        <v>0</v>
      </c>
      <c r="S254" s="1">
        <v>1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2</v>
      </c>
      <c r="AA254">
        <v>2.3205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21</v>
      </c>
      <c r="BH254" s="1">
        <v>21500.48</v>
      </c>
      <c r="BI254" s="1">
        <v>0</v>
      </c>
      <c r="BJ254" s="1">
        <v>1</v>
      </c>
    </row>
    <row r="255" spans="1:62" x14ac:dyDescent="0.3">
      <c r="A255" s="1">
        <v>1</v>
      </c>
      <c r="B255" s="1">
        <v>254</v>
      </c>
      <c r="C255" s="1" t="s">
        <v>69</v>
      </c>
      <c r="D255">
        <v>0</v>
      </c>
      <c r="E255" s="6">
        <v>43108</v>
      </c>
      <c r="F255" s="1" t="s">
        <v>64</v>
      </c>
      <c r="G255" s="1">
        <v>0</v>
      </c>
      <c r="H255" s="1">
        <v>0</v>
      </c>
      <c r="I255" s="1">
        <v>3</v>
      </c>
      <c r="J255" s="1" t="s">
        <v>188</v>
      </c>
      <c r="K255" s="1">
        <v>20.96</v>
      </c>
      <c r="L255" s="1">
        <v>0</v>
      </c>
      <c r="M255" s="1">
        <v>1</v>
      </c>
      <c r="N255" s="1">
        <v>1</v>
      </c>
      <c r="O255" s="1">
        <v>0</v>
      </c>
      <c r="P255" s="1">
        <v>1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2</v>
      </c>
      <c r="AA255">
        <v>0.75329999999999997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1</v>
      </c>
      <c r="BE255" s="1">
        <v>0</v>
      </c>
      <c r="BF255" s="1">
        <v>0</v>
      </c>
      <c r="BG255" s="1">
        <v>32</v>
      </c>
      <c r="BH255" s="1">
        <v>21567.86</v>
      </c>
      <c r="BI255" s="1">
        <v>0</v>
      </c>
      <c r="BJ255" s="1">
        <v>1</v>
      </c>
    </row>
    <row r="256" spans="1:62" x14ac:dyDescent="0.3">
      <c r="A256">
        <v>1</v>
      </c>
      <c r="B256">
        <v>255</v>
      </c>
      <c r="C256" t="s">
        <v>69</v>
      </c>
      <c r="D256">
        <v>0</v>
      </c>
      <c r="E256" s="2">
        <v>43476</v>
      </c>
      <c r="F256" t="s">
        <v>121</v>
      </c>
      <c r="G256" s="1">
        <v>0</v>
      </c>
      <c r="H256" s="1">
        <v>0</v>
      </c>
      <c r="I256" s="1">
        <v>2</v>
      </c>
      <c r="J256" s="1" t="s">
        <v>196</v>
      </c>
      <c r="K256" s="1">
        <v>20.079999999999998</v>
      </c>
      <c r="L256" s="1">
        <v>2</v>
      </c>
      <c r="M256" s="1">
        <v>1</v>
      </c>
      <c r="N256" s="1">
        <v>0</v>
      </c>
      <c r="O256" s="1">
        <v>0</v>
      </c>
      <c r="P256" s="1">
        <v>0</v>
      </c>
      <c r="Q256" s="1">
        <v>1</v>
      </c>
      <c r="R256" s="1">
        <v>1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1">
        <v>1</v>
      </c>
      <c r="Z256" s="1">
        <v>2</v>
      </c>
      <c r="AA256" s="1">
        <v>1.62</v>
      </c>
      <c r="AB256" s="1">
        <v>10.75</v>
      </c>
      <c r="AC256" s="1">
        <v>21</v>
      </c>
      <c r="AD256">
        <f>AB256*100/AC256</f>
        <v>51.19047619047619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3</v>
      </c>
      <c r="BE256" s="1">
        <v>0</v>
      </c>
      <c r="BF256" s="1">
        <v>0</v>
      </c>
      <c r="BG256" s="1">
        <v>16</v>
      </c>
      <c r="BH256">
        <f>13533+7324+762+318+102+1550+651+775+74.13</f>
        <v>25089.13</v>
      </c>
      <c r="BI256" s="1">
        <v>0</v>
      </c>
      <c r="BJ256" s="1">
        <v>0</v>
      </c>
    </row>
    <row r="257" spans="1:62" x14ac:dyDescent="0.3">
      <c r="A257" s="1">
        <v>1</v>
      </c>
      <c r="B257" s="1">
        <v>256</v>
      </c>
      <c r="C257" s="1" t="s">
        <v>60</v>
      </c>
      <c r="D257">
        <v>0</v>
      </c>
      <c r="E257" s="6">
        <v>43023</v>
      </c>
      <c r="F257" s="1" t="s">
        <v>85</v>
      </c>
      <c r="G257" s="1">
        <v>0</v>
      </c>
      <c r="H257" s="1">
        <v>0</v>
      </c>
      <c r="I257" s="1">
        <v>3</v>
      </c>
      <c r="J257" s="1" t="s">
        <v>185</v>
      </c>
      <c r="K257" s="1">
        <v>30.45</v>
      </c>
      <c r="L257" s="1">
        <v>0</v>
      </c>
      <c r="M257" s="1">
        <v>0</v>
      </c>
      <c r="N257" s="1">
        <v>1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1</v>
      </c>
      <c r="Y257" s="1">
        <v>0</v>
      </c>
      <c r="Z257" s="1">
        <v>1</v>
      </c>
      <c r="AA257">
        <v>3.6708000000000003</v>
      </c>
      <c r="AN257" s="1">
        <v>3008</v>
      </c>
      <c r="AO257" s="1">
        <v>185.4</v>
      </c>
      <c r="AP257" s="1">
        <v>105.5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13</v>
      </c>
      <c r="BH257" s="1">
        <v>21958.71</v>
      </c>
      <c r="BI257" s="1">
        <v>0</v>
      </c>
      <c r="BJ257" s="1">
        <v>0</v>
      </c>
    </row>
    <row r="258" spans="1:62" x14ac:dyDescent="0.3">
      <c r="A258" s="1">
        <v>1</v>
      </c>
      <c r="B258">
        <v>257</v>
      </c>
      <c r="C258" s="1" t="s">
        <v>54</v>
      </c>
      <c r="D258">
        <v>0</v>
      </c>
      <c r="E258" s="6">
        <v>42731</v>
      </c>
      <c r="F258" s="1" t="s">
        <v>53</v>
      </c>
      <c r="G258" s="1">
        <v>0</v>
      </c>
      <c r="H258" s="1">
        <v>1</v>
      </c>
      <c r="I258" s="1">
        <v>2</v>
      </c>
      <c r="J258" s="1" t="s">
        <v>192</v>
      </c>
      <c r="K258" s="1">
        <v>21.72</v>
      </c>
      <c r="L258" s="1">
        <v>2</v>
      </c>
      <c r="M258" s="1">
        <v>1</v>
      </c>
      <c r="N258" s="1">
        <v>1</v>
      </c>
      <c r="O258" s="1">
        <v>1</v>
      </c>
      <c r="P258" s="1">
        <v>0</v>
      </c>
      <c r="Q258" s="1">
        <v>1</v>
      </c>
      <c r="R258" s="1">
        <v>0</v>
      </c>
      <c r="S258" s="1">
        <v>0</v>
      </c>
      <c r="T258" s="1">
        <v>1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2</v>
      </c>
      <c r="AA258">
        <v>1.0342399999999998</v>
      </c>
      <c r="AB258" s="1">
        <v>13.67</v>
      </c>
      <c r="AC258" s="1">
        <v>41</v>
      </c>
      <c r="AD258">
        <f>AB258*100/AC258</f>
        <v>33.341463414634148</v>
      </c>
      <c r="AE258" s="1">
        <v>5</v>
      </c>
      <c r="AF258" s="1">
        <v>456</v>
      </c>
      <c r="AG258" s="1">
        <v>2</v>
      </c>
      <c r="AH258" s="1">
        <v>71.900000000000006</v>
      </c>
      <c r="AI258" s="1">
        <v>5</v>
      </c>
      <c r="AJ258" s="1">
        <v>4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3</v>
      </c>
      <c r="BE258" s="1">
        <v>1</v>
      </c>
      <c r="BF258" s="1">
        <v>1</v>
      </c>
      <c r="BG258" s="1">
        <v>18</v>
      </c>
      <c r="BH258">
        <f>10216.76+44.67+9298+492+70+971+828+3828+600+85+352.11</f>
        <v>26785.54</v>
      </c>
      <c r="BI258" s="1">
        <v>0</v>
      </c>
      <c r="BJ258" s="1">
        <v>1</v>
      </c>
    </row>
    <row r="259" spans="1:62" x14ac:dyDescent="0.3">
      <c r="A259" s="1">
        <v>1</v>
      </c>
      <c r="B259" s="1">
        <v>258</v>
      </c>
      <c r="C259" s="1" t="s">
        <v>71</v>
      </c>
      <c r="D259">
        <v>0</v>
      </c>
      <c r="E259" s="6">
        <v>42876</v>
      </c>
      <c r="F259" s="1" t="s">
        <v>52</v>
      </c>
      <c r="G259" s="1">
        <v>0</v>
      </c>
      <c r="H259" s="1">
        <v>1</v>
      </c>
      <c r="I259" s="1">
        <v>2</v>
      </c>
      <c r="J259" s="1" t="s">
        <v>193</v>
      </c>
      <c r="K259" s="1">
        <v>22.76</v>
      </c>
      <c r="L259" s="1">
        <v>0</v>
      </c>
      <c r="M259" s="1">
        <v>1</v>
      </c>
      <c r="N259" s="1">
        <v>0</v>
      </c>
      <c r="O259" s="1">
        <v>1</v>
      </c>
      <c r="P259" s="1">
        <v>1</v>
      </c>
      <c r="Q259" s="1">
        <v>1</v>
      </c>
      <c r="R259" s="1">
        <v>1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2</v>
      </c>
      <c r="AA259">
        <v>0.43808000000000002</v>
      </c>
      <c r="AB259" s="1">
        <v>7.73</v>
      </c>
      <c r="AC259" s="1">
        <v>70</v>
      </c>
      <c r="AD259">
        <f>AB259*100/AC259</f>
        <v>11.042857142857143</v>
      </c>
      <c r="AE259" s="1">
        <v>5</v>
      </c>
      <c r="AF259" s="1">
        <v>1907</v>
      </c>
      <c r="AG259" s="1">
        <v>51.6</v>
      </c>
      <c r="AH259" s="1">
        <v>75.3</v>
      </c>
      <c r="AI259" s="1">
        <v>6.37</v>
      </c>
      <c r="AJ259" s="1">
        <v>11.8</v>
      </c>
      <c r="AK259" s="1">
        <v>66.900000000000006</v>
      </c>
      <c r="AL259" s="1">
        <v>45.3</v>
      </c>
      <c r="AM259" s="1">
        <v>20.399999999999999</v>
      </c>
      <c r="AN259" s="1">
        <v>335</v>
      </c>
      <c r="AO259" s="1">
        <v>227</v>
      </c>
      <c r="AP259" s="1">
        <v>102</v>
      </c>
      <c r="AQ259">
        <f>AL259/AM259</f>
        <v>2.2205882352941178</v>
      </c>
      <c r="AR259" s="1">
        <v>1</v>
      </c>
      <c r="AS259" s="1">
        <v>1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2</v>
      </c>
      <c r="BE259" s="1">
        <v>3</v>
      </c>
      <c r="BF259" s="1">
        <v>1</v>
      </c>
      <c r="BG259" s="1">
        <v>29</v>
      </c>
      <c r="BH259" s="1">
        <v>144393.65</v>
      </c>
      <c r="BI259" s="1">
        <v>1</v>
      </c>
      <c r="BJ259" s="1">
        <v>1</v>
      </c>
    </row>
    <row r="260" spans="1:62" x14ac:dyDescent="0.3">
      <c r="A260" s="1">
        <v>1</v>
      </c>
      <c r="B260" s="1">
        <v>259</v>
      </c>
      <c r="C260" s="1" t="s">
        <v>60</v>
      </c>
      <c r="D260">
        <v>0</v>
      </c>
      <c r="E260" s="6">
        <v>42968</v>
      </c>
      <c r="F260" s="1" t="s">
        <v>85</v>
      </c>
      <c r="G260" s="1">
        <v>0</v>
      </c>
      <c r="H260" s="1">
        <v>0</v>
      </c>
      <c r="I260" s="1">
        <v>1</v>
      </c>
      <c r="J260" s="1" t="s">
        <v>190</v>
      </c>
      <c r="K260" s="1">
        <v>18.73</v>
      </c>
      <c r="L260" s="1">
        <v>0</v>
      </c>
      <c r="M260" s="1">
        <v>1</v>
      </c>
      <c r="N260" s="1">
        <v>1</v>
      </c>
      <c r="O260" s="1">
        <v>0</v>
      </c>
      <c r="P260" s="1">
        <v>1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1</v>
      </c>
      <c r="Y260" s="1">
        <v>0</v>
      </c>
      <c r="Z260" s="1">
        <v>1</v>
      </c>
      <c r="AA260">
        <v>1.1124000000000001</v>
      </c>
      <c r="AK260" s="1">
        <v>59.7</v>
      </c>
      <c r="AL260" s="1">
        <v>30.3</v>
      </c>
      <c r="AM260" s="1">
        <v>28.6</v>
      </c>
      <c r="AN260" s="1">
        <v>896</v>
      </c>
      <c r="AO260" s="1">
        <v>455</v>
      </c>
      <c r="AP260" s="1">
        <v>429</v>
      </c>
      <c r="AQ260">
        <f>AL260/AM260</f>
        <v>1.0594405594405594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1</v>
      </c>
      <c r="BE260" s="1">
        <v>0</v>
      </c>
      <c r="BF260" s="1">
        <v>0</v>
      </c>
      <c r="BG260" s="1">
        <v>15</v>
      </c>
      <c r="BH260" s="1">
        <v>22575.07</v>
      </c>
      <c r="BI260" s="1">
        <v>0</v>
      </c>
      <c r="BJ260" s="1">
        <v>1</v>
      </c>
    </row>
    <row r="261" spans="1:62" x14ac:dyDescent="0.3">
      <c r="A261" s="1">
        <v>1</v>
      </c>
      <c r="B261">
        <v>260</v>
      </c>
      <c r="C261" s="1" t="s">
        <v>54</v>
      </c>
      <c r="D261">
        <v>0</v>
      </c>
      <c r="E261" s="6">
        <v>42936</v>
      </c>
      <c r="F261" s="1" t="s">
        <v>85</v>
      </c>
      <c r="G261" s="1">
        <v>0</v>
      </c>
      <c r="H261" s="1">
        <v>0</v>
      </c>
      <c r="I261" s="1">
        <v>2</v>
      </c>
      <c r="J261" s="1" t="s">
        <v>191</v>
      </c>
      <c r="K261" s="1">
        <v>29.86</v>
      </c>
      <c r="L261" s="1">
        <v>0</v>
      </c>
      <c r="M261" s="1">
        <v>0</v>
      </c>
      <c r="N261" s="1">
        <v>1</v>
      </c>
      <c r="O261" s="1">
        <v>0</v>
      </c>
      <c r="P261" s="1">
        <v>0</v>
      </c>
      <c r="Q261" s="1">
        <v>1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1</v>
      </c>
      <c r="AA261">
        <v>1.8018000000000001</v>
      </c>
      <c r="AK261" s="1">
        <v>82.1</v>
      </c>
      <c r="AL261" s="1">
        <v>54.8</v>
      </c>
      <c r="AM261" s="1">
        <v>26.8</v>
      </c>
      <c r="AN261" s="1">
        <v>1478</v>
      </c>
      <c r="AO261" s="1">
        <v>986</v>
      </c>
      <c r="AP261" s="1">
        <v>482</v>
      </c>
      <c r="AQ261">
        <f>AL261/AM261</f>
        <v>2.044776119402985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11</v>
      </c>
      <c r="BH261" s="1">
        <v>15290.06</v>
      </c>
      <c r="BI261" s="1">
        <v>0</v>
      </c>
      <c r="BJ261" s="1">
        <v>1</v>
      </c>
    </row>
    <row r="262" spans="1:62" x14ac:dyDescent="0.3">
      <c r="A262" s="1">
        <v>1</v>
      </c>
      <c r="B262" s="1">
        <v>261</v>
      </c>
      <c r="C262" s="1" t="s">
        <v>87</v>
      </c>
      <c r="D262">
        <v>0</v>
      </c>
      <c r="E262" s="6">
        <v>43105</v>
      </c>
      <c r="F262" s="1" t="s">
        <v>61</v>
      </c>
      <c r="G262" s="1">
        <v>1</v>
      </c>
      <c r="H262" s="1">
        <v>1</v>
      </c>
      <c r="I262" s="1">
        <v>2</v>
      </c>
      <c r="J262" s="1" t="s">
        <v>190</v>
      </c>
      <c r="K262" s="1">
        <v>22.31</v>
      </c>
      <c r="L262" s="1">
        <v>1</v>
      </c>
      <c r="M262" s="1">
        <v>1</v>
      </c>
      <c r="N262" s="1">
        <v>1</v>
      </c>
      <c r="O262" s="1">
        <v>0</v>
      </c>
      <c r="P262" s="1">
        <v>1</v>
      </c>
      <c r="Q262" s="1">
        <v>1</v>
      </c>
      <c r="R262" s="1">
        <v>0</v>
      </c>
      <c r="S262" s="1">
        <v>1</v>
      </c>
      <c r="T262" s="1">
        <v>0</v>
      </c>
      <c r="U262" s="1">
        <v>0</v>
      </c>
      <c r="V262" s="1">
        <v>0</v>
      </c>
      <c r="W262" s="1">
        <v>1</v>
      </c>
      <c r="X262" s="1">
        <v>0</v>
      </c>
      <c r="Y262" s="1">
        <v>0</v>
      </c>
      <c r="Z262" s="1">
        <v>2</v>
      </c>
      <c r="AA262">
        <v>2.2210999999999999</v>
      </c>
      <c r="AB262" s="1">
        <v>7.33</v>
      </c>
      <c r="AC262" s="1">
        <v>33</v>
      </c>
      <c r="AD262">
        <f>AB262*100/AC262</f>
        <v>22.212121212121211</v>
      </c>
      <c r="AE262" s="1">
        <v>5</v>
      </c>
      <c r="AF262" s="1">
        <v>1074</v>
      </c>
      <c r="AG262" s="1">
        <v>257</v>
      </c>
      <c r="AH262" s="1">
        <v>452</v>
      </c>
      <c r="AI262" s="1">
        <v>11.6</v>
      </c>
      <c r="AJ262" s="1">
        <v>8.67</v>
      </c>
      <c r="AK262" s="1">
        <v>45.5</v>
      </c>
      <c r="AL262" s="1">
        <v>30</v>
      </c>
      <c r="AM262" s="1">
        <v>14.1</v>
      </c>
      <c r="AN262" s="1">
        <v>200</v>
      </c>
      <c r="AO262" s="1">
        <v>132</v>
      </c>
      <c r="AP262" s="1">
        <v>62</v>
      </c>
      <c r="AQ262">
        <f>AL262/AM262</f>
        <v>2.1276595744680851</v>
      </c>
      <c r="AR262" s="1">
        <v>1</v>
      </c>
      <c r="AS262" s="1">
        <v>0</v>
      </c>
      <c r="AT262" s="1">
        <v>0</v>
      </c>
      <c r="AU262" s="1">
        <v>0</v>
      </c>
      <c r="AV262" s="1">
        <v>0</v>
      </c>
      <c r="AW262" s="1">
        <v>1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3</v>
      </c>
      <c r="BF262" s="1">
        <v>1</v>
      </c>
      <c r="BG262" s="1">
        <v>23</v>
      </c>
      <c r="BH262" s="1">
        <v>149886.70000000001</v>
      </c>
      <c r="BI262" s="1">
        <v>0</v>
      </c>
      <c r="BJ262" s="1">
        <v>1</v>
      </c>
    </row>
    <row r="263" spans="1:62" x14ac:dyDescent="0.3">
      <c r="A263">
        <v>1</v>
      </c>
      <c r="B263">
        <v>262</v>
      </c>
      <c r="C263" t="s">
        <v>69</v>
      </c>
      <c r="D263">
        <v>0</v>
      </c>
      <c r="E263" s="2">
        <v>43476</v>
      </c>
      <c r="F263" t="s">
        <v>85</v>
      </c>
      <c r="G263" s="1">
        <v>0</v>
      </c>
      <c r="H263" s="1">
        <v>0</v>
      </c>
      <c r="I263" s="1">
        <v>4</v>
      </c>
      <c r="J263" s="1" t="s">
        <v>182</v>
      </c>
      <c r="K263" s="1">
        <v>23.18</v>
      </c>
      <c r="L263" s="1">
        <v>0</v>
      </c>
      <c r="M263" s="1">
        <v>1</v>
      </c>
      <c r="N263" s="1">
        <v>1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1</v>
      </c>
      <c r="Y263" s="1">
        <v>0</v>
      </c>
      <c r="Z263" s="1">
        <v>1</v>
      </c>
      <c r="AA263" s="1">
        <v>0.42</v>
      </c>
      <c r="AR263">
        <v>1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1</v>
      </c>
      <c r="BB263">
        <v>0</v>
      </c>
      <c r="BC263">
        <v>0</v>
      </c>
      <c r="BD263">
        <v>0</v>
      </c>
      <c r="BE263" s="1">
        <v>0</v>
      </c>
      <c r="BF263" s="1">
        <v>0</v>
      </c>
      <c r="BG263" s="1">
        <v>10</v>
      </c>
      <c r="BH263">
        <f>12951.71+7300+280+189+580+456+500+1468.39</f>
        <v>23725.1</v>
      </c>
      <c r="BI263" s="1">
        <v>0</v>
      </c>
      <c r="BJ263" s="1">
        <v>1</v>
      </c>
    </row>
    <row r="264" spans="1:62" x14ac:dyDescent="0.3">
      <c r="A264" s="1">
        <v>1</v>
      </c>
      <c r="B264" s="1">
        <v>263</v>
      </c>
      <c r="C264" s="1" t="s">
        <v>92</v>
      </c>
      <c r="D264">
        <v>0</v>
      </c>
      <c r="E264" s="6">
        <v>43150</v>
      </c>
      <c r="F264" s="1" t="s">
        <v>85</v>
      </c>
      <c r="G264" s="1">
        <v>0</v>
      </c>
      <c r="H264" s="1">
        <v>0</v>
      </c>
      <c r="I264" s="1">
        <v>3</v>
      </c>
      <c r="J264" s="1" t="s">
        <v>184</v>
      </c>
      <c r="K264" s="1">
        <v>26.39</v>
      </c>
      <c r="L264" s="1">
        <v>0</v>
      </c>
      <c r="M264" s="1">
        <v>0</v>
      </c>
      <c r="N264" s="1">
        <v>1</v>
      </c>
      <c r="O264" s="1">
        <v>0</v>
      </c>
      <c r="P264" s="1"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1</v>
      </c>
      <c r="Y264" s="1">
        <v>0</v>
      </c>
      <c r="Z264" s="1">
        <v>2</v>
      </c>
      <c r="AA264">
        <v>1.3412800000000002</v>
      </c>
      <c r="AK264" s="1">
        <v>72.7</v>
      </c>
      <c r="AL264" s="1">
        <v>46.7</v>
      </c>
      <c r="AM264" s="1">
        <v>22.8</v>
      </c>
      <c r="AN264" s="1">
        <v>901</v>
      </c>
      <c r="AO264" s="1">
        <v>579</v>
      </c>
      <c r="AP264" s="1">
        <v>283</v>
      </c>
      <c r="AQ264">
        <f>AL264/AM264</f>
        <v>2.0482456140350878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12</v>
      </c>
      <c r="BH264" s="1">
        <v>23832.16</v>
      </c>
      <c r="BI264" s="1">
        <v>0</v>
      </c>
      <c r="BJ264" s="1">
        <v>0</v>
      </c>
    </row>
    <row r="265" spans="1:62" x14ac:dyDescent="0.3">
      <c r="A265">
        <v>1</v>
      </c>
      <c r="B265" s="1">
        <v>264</v>
      </c>
      <c r="C265" s="1" t="s">
        <v>60</v>
      </c>
      <c r="D265">
        <v>0</v>
      </c>
      <c r="E265" s="2">
        <v>43494</v>
      </c>
      <c r="F265" t="s">
        <v>128</v>
      </c>
      <c r="G265" s="1">
        <v>1</v>
      </c>
      <c r="H265" s="1">
        <v>1</v>
      </c>
      <c r="I265" s="1">
        <v>2</v>
      </c>
      <c r="J265" s="1" t="s">
        <v>193</v>
      </c>
      <c r="K265" s="1">
        <v>22.04</v>
      </c>
      <c r="L265" s="1">
        <v>0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0</v>
      </c>
      <c r="S265" s="1">
        <v>0</v>
      </c>
      <c r="T265" s="1">
        <v>0</v>
      </c>
      <c r="U265" s="1">
        <v>1</v>
      </c>
      <c r="V265" s="1">
        <v>1</v>
      </c>
      <c r="W265" s="1">
        <v>0</v>
      </c>
      <c r="X265" s="1">
        <v>1</v>
      </c>
      <c r="Y265" s="1">
        <v>0</v>
      </c>
      <c r="Z265" s="1">
        <v>2</v>
      </c>
      <c r="AA265" s="1">
        <v>0.19</v>
      </c>
      <c r="AB265" s="1">
        <v>12.41</v>
      </c>
      <c r="AC265" s="1">
        <v>100</v>
      </c>
      <c r="AD265">
        <f>AB265*100/AC265</f>
        <v>12.41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2</v>
      </c>
      <c r="BE265" s="1">
        <v>1</v>
      </c>
      <c r="BF265" s="1">
        <v>1</v>
      </c>
      <c r="BG265" s="1">
        <v>4</v>
      </c>
      <c r="BH265">
        <f>3393.78+5491+595+140+821+50+232+1260+245+111.3</f>
        <v>12339.08</v>
      </c>
      <c r="BI265" s="1">
        <v>0</v>
      </c>
      <c r="BJ265" s="1">
        <v>0</v>
      </c>
    </row>
    <row r="266" spans="1:62" x14ac:dyDescent="0.3">
      <c r="A266" s="1">
        <v>1</v>
      </c>
      <c r="B266">
        <v>265</v>
      </c>
      <c r="C266" s="1" t="s">
        <v>60</v>
      </c>
      <c r="D266">
        <v>0</v>
      </c>
      <c r="E266" s="6">
        <v>42373</v>
      </c>
      <c r="F266" s="1" t="s">
        <v>64</v>
      </c>
      <c r="G266" s="1">
        <v>1</v>
      </c>
      <c r="H266" s="1">
        <v>1</v>
      </c>
      <c r="I266" s="1">
        <v>2</v>
      </c>
      <c r="J266" s="1" t="s">
        <v>191</v>
      </c>
      <c r="K266" s="1">
        <v>25.91</v>
      </c>
      <c r="L266" s="1">
        <v>0</v>
      </c>
      <c r="M266" s="1">
        <v>1</v>
      </c>
      <c r="N266" s="1">
        <v>0</v>
      </c>
      <c r="O266" s="1">
        <v>1</v>
      </c>
      <c r="P266" s="1">
        <v>1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2</v>
      </c>
      <c r="AA266">
        <v>0.83979999999999999</v>
      </c>
      <c r="AB266" s="1">
        <v>6.16</v>
      </c>
      <c r="AC266" s="1">
        <v>61</v>
      </c>
      <c r="AD266">
        <f>AB266*100/AC266</f>
        <v>10.098360655737705</v>
      </c>
      <c r="AE266" s="1">
        <v>5</v>
      </c>
      <c r="AF266" s="1">
        <v>1272</v>
      </c>
      <c r="AG266" s="1">
        <v>30</v>
      </c>
      <c r="AH266" s="1">
        <v>109</v>
      </c>
      <c r="AI266" s="1">
        <v>7.18</v>
      </c>
      <c r="AJ266" s="1">
        <v>11.6</v>
      </c>
      <c r="AK266" s="1">
        <v>63.1</v>
      </c>
      <c r="AL266" s="1">
        <v>43.2</v>
      </c>
      <c r="AM266" s="1">
        <v>17.899999999999999</v>
      </c>
      <c r="AQ266">
        <f>AL266/AM266</f>
        <v>2.4134078212290508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>
        <v>0</v>
      </c>
      <c r="BB266">
        <v>0</v>
      </c>
      <c r="BC266">
        <v>0</v>
      </c>
      <c r="BD266" s="1">
        <v>1</v>
      </c>
      <c r="BE266" s="1">
        <v>1</v>
      </c>
      <c r="BF266" s="1">
        <v>0</v>
      </c>
      <c r="BG266" s="1">
        <v>8</v>
      </c>
      <c r="BH266" s="1">
        <v>23992.15</v>
      </c>
      <c r="BI266" s="1">
        <v>1</v>
      </c>
      <c r="BJ266" s="1">
        <v>1</v>
      </c>
    </row>
    <row r="267" spans="1:62" x14ac:dyDescent="0.3">
      <c r="A267" s="1">
        <v>1</v>
      </c>
      <c r="B267" s="1">
        <v>266</v>
      </c>
      <c r="C267" s="1" t="s">
        <v>60</v>
      </c>
      <c r="D267">
        <v>0</v>
      </c>
      <c r="E267" s="6">
        <v>42796</v>
      </c>
      <c r="F267" s="1" t="s">
        <v>67</v>
      </c>
      <c r="G267" s="1">
        <v>0</v>
      </c>
      <c r="H267" s="1">
        <v>0</v>
      </c>
      <c r="I267" s="1">
        <v>2</v>
      </c>
      <c r="J267" s="1" t="s">
        <v>192</v>
      </c>
      <c r="K267" s="1">
        <v>20.079999999999998</v>
      </c>
      <c r="L267" s="1">
        <v>0</v>
      </c>
      <c r="M267" s="1">
        <v>0</v>
      </c>
      <c r="N267" s="1">
        <v>0</v>
      </c>
      <c r="O267" s="1">
        <v>0</v>
      </c>
      <c r="P267" s="1">
        <v>1</v>
      </c>
      <c r="Q267" s="1">
        <v>1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1</v>
      </c>
      <c r="X267" s="1">
        <v>0</v>
      </c>
      <c r="Y267" s="1">
        <v>1</v>
      </c>
      <c r="Z267" s="1">
        <v>2</v>
      </c>
      <c r="AA267">
        <v>0.42</v>
      </c>
      <c r="AE267" s="1">
        <v>5</v>
      </c>
      <c r="AF267" s="1">
        <v>1310</v>
      </c>
      <c r="AG267" s="1">
        <v>18.2</v>
      </c>
      <c r="AH267" s="1">
        <v>24.8</v>
      </c>
      <c r="AI267" s="1">
        <v>5</v>
      </c>
      <c r="AJ267" s="1">
        <v>23.9</v>
      </c>
      <c r="AK267" s="1">
        <v>77.599999999999994</v>
      </c>
      <c r="AL267" s="1">
        <v>45.6</v>
      </c>
      <c r="AM267" s="1">
        <v>27.6</v>
      </c>
      <c r="AN267" s="1">
        <v>326</v>
      </c>
      <c r="AO267" s="1">
        <v>192</v>
      </c>
      <c r="AP267" s="1">
        <v>116</v>
      </c>
      <c r="AQ267">
        <f>AL267/AM267</f>
        <v>1.6521739130434783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1</v>
      </c>
      <c r="BE267" s="1">
        <v>0</v>
      </c>
      <c r="BF267" s="1">
        <v>0</v>
      </c>
      <c r="BG267" s="1">
        <v>46</v>
      </c>
      <c r="BH267">
        <f>64693.29+110.07+21299+13613+2788+24+10+2208+2086+1150+3128.4</f>
        <v>111109.75999999999</v>
      </c>
      <c r="BI267" s="1">
        <v>0</v>
      </c>
      <c r="BJ267" s="1">
        <v>1</v>
      </c>
    </row>
    <row r="268" spans="1:62" x14ac:dyDescent="0.3">
      <c r="A268" s="1">
        <v>1</v>
      </c>
      <c r="B268">
        <v>267</v>
      </c>
      <c r="C268" s="1" t="s">
        <v>87</v>
      </c>
      <c r="D268">
        <v>0</v>
      </c>
      <c r="E268" s="6">
        <v>43105</v>
      </c>
      <c r="F268" s="1" t="s">
        <v>98</v>
      </c>
      <c r="G268" s="1">
        <v>1</v>
      </c>
      <c r="H268" s="1">
        <v>1</v>
      </c>
      <c r="I268" s="1">
        <v>2</v>
      </c>
      <c r="J268" s="1" t="s">
        <v>190</v>
      </c>
      <c r="K268" s="1">
        <v>22.31</v>
      </c>
      <c r="L268" s="1">
        <v>1</v>
      </c>
      <c r="M268" s="1">
        <v>1</v>
      </c>
      <c r="N268" s="1">
        <v>0</v>
      </c>
      <c r="O268" s="1">
        <v>0</v>
      </c>
      <c r="P268" s="1">
        <v>1</v>
      </c>
      <c r="Q268" s="1">
        <v>1</v>
      </c>
      <c r="R268" s="1">
        <v>0</v>
      </c>
      <c r="S268" s="1">
        <v>1</v>
      </c>
      <c r="T268" s="1">
        <v>0</v>
      </c>
      <c r="U268" s="1">
        <v>0</v>
      </c>
      <c r="V268" s="1">
        <v>0</v>
      </c>
      <c r="W268" s="1">
        <v>1</v>
      </c>
      <c r="X268" s="1">
        <v>0</v>
      </c>
      <c r="Y268" s="1">
        <v>0</v>
      </c>
      <c r="Z268" s="1">
        <v>2</v>
      </c>
      <c r="AA268">
        <v>2.2210999999999999</v>
      </c>
      <c r="AB268" s="1">
        <v>7.33</v>
      </c>
      <c r="AC268" s="1">
        <v>33</v>
      </c>
      <c r="AD268">
        <f t="shared" ref="AD268:AD273" si="4">AB268*100/AC268</f>
        <v>22.212121212121211</v>
      </c>
      <c r="AE268" s="1">
        <v>5</v>
      </c>
      <c r="AF268" s="1">
        <v>1074</v>
      </c>
      <c r="AG268" s="1">
        <v>257</v>
      </c>
      <c r="AH268" s="1">
        <v>452</v>
      </c>
      <c r="AI268" s="1">
        <v>11.6</v>
      </c>
      <c r="AJ268" s="1">
        <v>8.67</v>
      </c>
      <c r="AK268" s="1">
        <v>45.5</v>
      </c>
      <c r="AL268" s="1">
        <v>30</v>
      </c>
      <c r="AM268" s="1">
        <v>14.1</v>
      </c>
      <c r="AN268" s="1">
        <v>200</v>
      </c>
      <c r="AO268" s="1">
        <v>132</v>
      </c>
      <c r="AP268" s="1">
        <v>62</v>
      </c>
      <c r="AQ268">
        <f>AL268/AM268</f>
        <v>2.1276595744680851</v>
      </c>
      <c r="AR268" s="1">
        <v>1</v>
      </c>
      <c r="AS268" s="1">
        <v>0</v>
      </c>
      <c r="AT268" s="1">
        <v>0</v>
      </c>
      <c r="AU268" s="1">
        <v>0</v>
      </c>
      <c r="AV268" s="1">
        <v>0</v>
      </c>
      <c r="AW268" s="1">
        <v>1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1</v>
      </c>
      <c r="BE268" s="1">
        <v>2</v>
      </c>
      <c r="BF268" s="1">
        <v>1</v>
      </c>
      <c r="BG268" s="1">
        <v>23</v>
      </c>
      <c r="BH268" s="1">
        <v>153198.22</v>
      </c>
      <c r="BI268" s="1">
        <v>0</v>
      </c>
      <c r="BJ268" s="1">
        <v>1</v>
      </c>
    </row>
    <row r="269" spans="1:62" x14ac:dyDescent="0.3">
      <c r="A269" s="1">
        <v>1</v>
      </c>
      <c r="B269" s="1">
        <v>268</v>
      </c>
      <c r="C269" s="1" t="s">
        <v>49</v>
      </c>
      <c r="D269">
        <v>0</v>
      </c>
      <c r="E269" s="6">
        <v>43144</v>
      </c>
      <c r="F269" s="1" t="s">
        <v>56</v>
      </c>
      <c r="G269" s="1">
        <v>0</v>
      </c>
      <c r="H269" s="1">
        <v>0</v>
      </c>
      <c r="I269" s="1">
        <v>2</v>
      </c>
      <c r="J269" s="1" t="s">
        <v>194</v>
      </c>
      <c r="K269" s="1">
        <v>24.84</v>
      </c>
      <c r="L269" s="1">
        <v>0</v>
      </c>
      <c r="M269" s="1">
        <v>1</v>
      </c>
      <c r="N269" s="1">
        <v>1</v>
      </c>
      <c r="O269" s="1">
        <v>1</v>
      </c>
      <c r="P269" s="1">
        <v>0</v>
      </c>
      <c r="Q269" s="1">
        <v>1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2</v>
      </c>
      <c r="AA269">
        <v>1.0783500000000001</v>
      </c>
      <c r="AB269" s="1">
        <v>12.21</v>
      </c>
      <c r="AC269" s="1">
        <v>21</v>
      </c>
      <c r="AD269">
        <f t="shared" si="4"/>
        <v>58.142857142857146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2</v>
      </c>
      <c r="BE269" s="1">
        <v>0</v>
      </c>
      <c r="BF269" s="1">
        <v>0</v>
      </c>
      <c r="BG269" s="1">
        <v>9</v>
      </c>
      <c r="BH269" s="1">
        <v>7555.54</v>
      </c>
      <c r="BI269" s="1">
        <v>0</v>
      </c>
      <c r="BJ269" s="1">
        <v>0</v>
      </c>
    </row>
    <row r="270" spans="1:62" x14ac:dyDescent="0.3">
      <c r="A270" s="1">
        <v>1</v>
      </c>
      <c r="B270" s="1">
        <v>269</v>
      </c>
      <c r="C270" s="1" t="s">
        <v>77</v>
      </c>
      <c r="D270">
        <v>0</v>
      </c>
      <c r="E270" s="6">
        <v>42980</v>
      </c>
      <c r="F270" s="1" t="s">
        <v>61</v>
      </c>
      <c r="G270" s="1">
        <v>0</v>
      </c>
      <c r="H270" s="1">
        <v>1</v>
      </c>
      <c r="I270" s="1">
        <v>1</v>
      </c>
      <c r="J270" s="1" t="s">
        <v>187</v>
      </c>
      <c r="K270" s="1">
        <v>19.14</v>
      </c>
      <c r="L270" s="1">
        <v>0</v>
      </c>
      <c r="M270" s="1">
        <v>1</v>
      </c>
      <c r="N270" s="1">
        <v>1</v>
      </c>
      <c r="O270" s="1">
        <v>1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1</v>
      </c>
      <c r="V270" s="1">
        <v>1</v>
      </c>
      <c r="W270" s="1">
        <v>0</v>
      </c>
      <c r="X270" s="1">
        <v>1</v>
      </c>
      <c r="Y270" s="1">
        <v>0</v>
      </c>
      <c r="Z270" s="1">
        <v>2</v>
      </c>
      <c r="AA270">
        <v>0.49920000000000003</v>
      </c>
      <c r="AB270">
        <f>56/7.5</f>
        <v>7.4666666666666668</v>
      </c>
      <c r="AC270" s="1">
        <v>33</v>
      </c>
      <c r="AD270">
        <f t="shared" si="4"/>
        <v>22.626262626262626</v>
      </c>
      <c r="AE270" s="1">
        <v>5</v>
      </c>
      <c r="AF270" s="1">
        <v>881</v>
      </c>
      <c r="AG270" s="1">
        <v>8.59</v>
      </c>
      <c r="AH270" s="1">
        <v>75.2</v>
      </c>
      <c r="AI270" s="1">
        <v>7.62</v>
      </c>
      <c r="AJ270" s="1">
        <v>46.8</v>
      </c>
      <c r="AK270" s="1">
        <v>39</v>
      </c>
      <c r="AL270" s="1">
        <v>20</v>
      </c>
      <c r="AM270" s="1">
        <v>14.2</v>
      </c>
      <c r="AN270" s="1">
        <v>234</v>
      </c>
      <c r="AO270" s="1">
        <v>120</v>
      </c>
      <c r="AP270" s="1">
        <v>85</v>
      </c>
      <c r="AQ270">
        <f>AL270/AM270</f>
        <v>1.4084507042253522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1</v>
      </c>
      <c r="BE270" s="1">
        <v>0</v>
      </c>
      <c r="BF270" s="1">
        <v>1</v>
      </c>
      <c r="BG270" s="1">
        <v>7</v>
      </c>
      <c r="BH270" s="1">
        <v>24423.49</v>
      </c>
      <c r="BI270" s="1">
        <v>0</v>
      </c>
      <c r="BJ270" s="1">
        <v>0</v>
      </c>
    </row>
    <row r="271" spans="1:62" x14ac:dyDescent="0.3">
      <c r="A271" s="1">
        <v>1</v>
      </c>
      <c r="B271">
        <v>270</v>
      </c>
      <c r="C271" s="1" t="s">
        <v>54</v>
      </c>
      <c r="D271">
        <v>0</v>
      </c>
      <c r="E271" s="6">
        <v>42980</v>
      </c>
      <c r="F271" s="1" t="s">
        <v>85</v>
      </c>
      <c r="G271" s="1">
        <v>0</v>
      </c>
      <c r="H271" s="1">
        <v>1</v>
      </c>
      <c r="I271" s="1">
        <v>1</v>
      </c>
      <c r="J271" s="1" t="s">
        <v>187</v>
      </c>
      <c r="K271" s="1">
        <v>19.14</v>
      </c>
      <c r="L271" s="1">
        <v>0</v>
      </c>
      <c r="M271" s="1">
        <v>1</v>
      </c>
      <c r="N271" s="1">
        <v>1</v>
      </c>
      <c r="O271" s="1">
        <v>1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1</v>
      </c>
      <c r="V271" s="1">
        <v>1</v>
      </c>
      <c r="W271" s="1">
        <v>0</v>
      </c>
      <c r="X271" s="1">
        <v>1</v>
      </c>
      <c r="Y271" s="1">
        <v>0</v>
      </c>
      <c r="Z271" s="1">
        <v>2</v>
      </c>
      <c r="AA271">
        <v>0.8615600000000001</v>
      </c>
      <c r="AB271" s="1">
        <v>18.190000000000001</v>
      </c>
      <c r="AC271" s="1">
        <v>41</v>
      </c>
      <c r="AD271">
        <f t="shared" si="4"/>
        <v>44.365853658536594</v>
      </c>
      <c r="AE271">
        <v>5</v>
      </c>
      <c r="AF271">
        <v>788</v>
      </c>
      <c r="AG271">
        <v>3.23</v>
      </c>
      <c r="AH271">
        <v>15.8</v>
      </c>
      <c r="AI271">
        <v>5</v>
      </c>
      <c r="AJ271">
        <v>8.3800000000000008</v>
      </c>
      <c r="AK271">
        <v>42.7</v>
      </c>
      <c r="AL271">
        <v>20.9</v>
      </c>
      <c r="AM271">
        <v>20.3</v>
      </c>
      <c r="AN271">
        <v>85</v>
      </c>
      <c r="AO271">
        <v>42</v>
      </c>
      <c r="AP271">
        <v>41</v>
      </c>
      <c r="AQ271">
        <f>AL271/AM271</f>
        <v>1.0295566502463054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1</v>
      </c>
      <c r="BE271" s="1">
        <v>0</v>
      </c>
      <c r="BF271" s="1">
        <v>0</v>
      </c>
      <c r="BG271" s="1">
        <v>7</v>
      </c>
      <c r="BH271" s="1">
        <v>24423.49</v>
      </c>
      <c r="BI271" s="1">
        <v>0</v>
      </c>
      <c r="BJ271" s="1">
        <v>0</v>
      </c>
    </row>
    <row r="272" spans="1:62" x14ac:dyDescent="0.3">
      <c r="A272" s="1">
        <v>1</v>
      </c>
      <c r="B272" s="1">
        <v>271</v>
      </c>
      <c r="C272" s="1" t="s">
        <v>57</v>
      </c>
      <c r="D272">
        <v>0</v>
      </c>
      <c r="E272" s="6">
        <v>43261</v>
      </c>
      <c r="F272" s="1" t="s">
        <v>121</v>
      </c>
      <c r="G272" s="1">
        <v>0</v>
      </c>
      <c r="H272" s="1">
        <v>0</v>
      </c>
      <c r="I272" s="1">
        <v>2</v>
      </c>
      <c r="J272" s="1" t="s">
        <v>197</v>
      </c>
      <c r="K272" s="1">
        <v>20.55</v>
      </c>
      <c r="L272" s="1">
        <v>0</v>
      </c>
      <c r="M272" s="1">
        <v>1</v>
      </c>
      <c r="N272" s="1">
        <v>1</v>
      </c>
      <c r="O272" s="1">
        <v>0</v>
      </c>
      <c r="P272" s="1">
        <v>1</v>
      </c>
      <c r="Q272" s="1">
        <v>1</v>
      </c>
      <c r="R272" s="1">
        <v>1</v>
      </c>
      <c r="S272" s="1">
        <v>0</v>
      </c>
      <c r="T272" s="1">
        <v>1</v>
      </c>
      <c r="U272" s="1">
        <v>0</v>
      </c>
      <c r="V272" s="1">
        <v>1</v>
      </c>
      <c r="W272" s="1">
        <v>0</v>
      </c>
      <c r="X272" s="1">
        <v>0</v>
      </c>
      <c r="Y272" s="1">
        <v>0</v>
      </c>
      <c r="Z272" s="1">
        <v>2</v>
      </c>
      <c r="AA272">
        <v>0.35558000000000001</v>
      </c>
      <c r="AB272" s="1">
        <v>11.22</v>
      </c>
      <c r="AC272" s="1">
        <v>33</v>
      </c>
      <c r="AD272">
        <f t="shared" si="4"/>
        <v>34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 s="1">
        <v>1</v>
      </c>
      <c r="BE272" s="1">
        <v>0</v>
      </c>
      <c r="BF272" s="1">
        <v>0</v>
      </c>
      <c r="BG272" s="1">
        <v>21</v>
      </c>
      <c r="BH272" s="1">
        <v>13852.27</v>
      </c>
      <c r="BI272" s="1">
        <v>0</v>
      </c>
      <c r="BJ272" s="1">
        <v>0</v>
      </c>
    </row>
    <row r="273" spans="1:62" x14ac:dyDescent="0.3">
      <c r="A273" s="1">
        <v>1</v>
      </c>
      <c r="B273">
        <v>272</v>
      </c>
      <c r="C273" s="1" t="s">
        <v>60</v>
      </c>
      <c r="D273">
        <v>0</v>
      </c>
      <c r="E273" s="6">
        <v>42990</v>
      </c>
      <c r="F273" s="1" t="s">
        <v>52</v>
      </c>
      <c r="G273" s="1">
        <v>0</v>
      </c>
      <c r="H273" s="1">
        <v>1</v>
      </c>
      <c r="I273" s="1">
        <v>2</v>
      </c>
      <c r="J273" s="1" t="s">
        <v>193</v>
      </c>
      <c r="K273" s="1">
        <v>24.97</v>
      </c>
      <c r="L273" s="1">
        <v>0</v>
      </c>
      <c r="M273" s="1">
        <v>1</v>
      </c>
      <c r="N273" s="1">
        <v>1</v>
      </c>
      <c r="O273" s="1">
        <v>1</v>
      </c>
      <c r="P273" s="1">
        <v>0</v>
      </c>
      <c r="Q273" s="1">
        <v>1</v>
      </c>
      <c r="R273" s="1">
        <v>0</v>
      </c>
      <c r="S273" s="1">
        <v>0</v>
      </c>
      <c r="T273" s="1">
        <v>1</v>
      </c>
      <c r="U273" s="1">
        <v>0</v>
      </c>
      <c r="V273" s="1">
        <v>1</v>
      </c>
      <c r="W273" s="1">
        <v>0</v>
      </c>
      <c r="X273" s="1">
        <v>0</v>
      </c>
      <c r="Y273" s="1">
        <v>0</v>
      </c>
      <c r="Z273" s="1">
        <v>2</v>
      </c>
      <c r="AA273">
        <v>1.12056</v>
      </c>
      <c r="AB273" s="1">
        <v>9.8699999999999992</v>
      </c>
      <c r="AC273" s="1">
        <v>41</v>
      </c>
      <c r="AD273">
        <f t="shared" si="4"/>
        <v>24.073170731707314</v>
      </c>
      <c r="AK273" s="1">
        <v>41.6</v>
      </c>
      <c r="AL273" s="1">
        <v>21.1</v>
      </c>
      <c r="AM273" s="1">
        <v>19.3</v>
      </c>
      <c r="AN273" s="1">
        <v>374</v>
      </c>
      <c r="AO273" s="1">
        <v>190</v>
      </c>
      <c r="AP273" s="1">
        <v>174</v>
      </c>
      <c r="AQ273">
        <f>AL273/AM273</f>
        <v>1.0932642487046633</v>
      </c>
      <c r="AR273" s="1">
        <v>1</v>
      </c>
      <c r="AS273" s="1">
        <v>0</v>
      </c>
      <c r="AT273" s="1">
        <v>1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1</v>
      </c>
      <c r="BE273" s="1">
        <v>1</v>
      </c>
      <c r="BF273" s="1">
        <v>1</v>
      </c>
      <c r="BG273" s="1">
        <v>28</v>
      </c>
      <c r="BH273" s="1">
        <v>54519.94</v>
      </c>
      <c r="BI273" s="1">
        <v>0</v>
      </c>
      <c r="BJ273" s="1">
        <v>1</v>
      </c>
    </row>
    <row r="274" spans="1:62" x14ac:dyDescent="0.3">
      <c r="A274" s="1">
        <v>1</v>
      </c>
      <c r="B274" s="1">
        <v>273</v>
      </c>
      <c r="C274" s="1" t="s">
        <v>110</v>
      </c>
      <c r="D274">
        <v>0</v>
      </c>
      <c r="E274" s="6">
        <v>43213</v>
      </c>
      <c r="F274" s="1" t="s">
        <v>111</v>
      </c>
      <c r="G274" s="1">
        <v>0</v>
      </c>
      <c r="H274" s="1">
        <v>0</v>
      </c>
      <c r="I274" s="1">
        <v>2</v>
      </c>
      <c r="J274" s="1" t="s">
        <v>190</v>
      </c>
      <c r="K274" s="1">
        <v>24.09</v>
      </c>
      <c r="L274" s="1">
        <v>1</v>
      </c>
      <c r="M274" s="1">
        <v>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1</v>
      </c>
      <c r="V274" s="1">
        <v>1</v>
      </c>
      <c r="W274" s="1">
        <v>0</v>
      </c>
      <c r="X274" s="1">
        <v>0</v>
      </c>
      <c r="Y274" s="1">
        <v>0</v>
      </c>
      <c r="Z274" s="1">
        <v>1</v>
      </c>
      <c r="AA274">
        <v>1.71404</v>
      </c>
      <c r="AB274" s="1">
        <v>12.06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1</v>
      </c>
      <c r="BE274" s="1">
        <v>1</v>
      </c>
      <c r="BF274" s="1">
        <v>0</v>
      </c>
      <c r="BG274" s="1">
        <v>14</v>
      </c>
      <c r="BH274" s="1">
        <v>24923.82</v>
      </c>
      <c r="BI274" s="1">
        <v>0</v>
      </c>
      <c r="BJ274" s="1">
        <v>0</v>
      </c>
    </row>
    <row r="275" spans="1:62" x14ac:dyDescent="0.3">
      <c r="A275" s="1">
        <v>1</v>
      </c>
      <c r="B275" s="1">
        <v>274</v>
      </c>
      <c r="C275" s="1" t="s">
        <v>60</v>
      </c>
      <c r="D275">
        <v>0</v>
      </c>
      <c r="E275" s="6">
        <v>43188</v>
      </c>
      <c r="F275" s="1" t="s">
        <v>56</v>
      </c>
      <c r="G275" s="1">
        <v>0</v>
      </c>
      <c r="H275" s="1">
        <v>1</v>
      </c>
      <c r="I275" s="1">
        <v>2</v>
      </c>
      <c r="J275" s="1" t="s">
        <v>195</v>
      </c>
      <c r="K275" s="1">
        <v>28.47</v>
      </c>
      <c r="L275" s="1">
        <v>2</v>
      </c>
      <c r="M275" s="1">
        <v>0</v>
      </c>
      <c r="N275" s="1">
        <v>0</v>
      </c>
      <c r="O275" s="1">
        <v>1</v>
      </c>
      <c r="P275" s="1">
        <v>0</v>
      </c>
      <c r="Q275" s="1">
        <v>1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1</v>
      </c>
      <c r="X275" s="1">
        <v>0</v>
      </c>
      <c r="Y275" s="1">
        <v>0</v>
      </c>
      <c r="Z275" s="1">
        <v>2</v>
      </c>
      <c r="AA275">
        <v>1.0217999999999998</v>
      </c>
      <c r="AB275" s="1">
        <v>8.51</v>
      </c>
      <c r="AC275" s="1">
        <v>33</v>
      </c>
      <c r="AD275">
        <f>AB275*100/AC275</f>
        <v>25.787878787878789</v>
      </c>
      <c r="AR275" s="1">
        <v>1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1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2</v>
      </c>
      <c r="BE275" s="1">
        <v>0</v>
      </c>
      <c r="BF275" s="1">
        <v>0</v>
      </c>
      <c r="BG275" s="1">
        <v>12</v>
      </c>
      <c r="BH275" s="1">
        <v>6056.1</v>
      </c>
      <c r="BI275" s="1">
        <v>0</v>
      </c>
      <c r="BJ275" s="1">
        <v>1</v>
      </c>
    </row>
    <row r="276" spans="1:62" x14ac:dyDescent="0.3">
      <c r="A276" s="1">
        <v>2</v>
      </c>
      <c r="B276">
        <v>275</v>
      </c>
      <c r="C276" s="1" t="s">
        <v>54</v>
      </c>
      <c r="D276">
        <v>0</v>
      </c>
      <c r="E276" s="6">
        <v>43062</v>
      </c>
      <c r="F276" s="1" t="s">
        <v>56</v>
      </c>
      <c r="G276" s="1">
        <v>1</v>
      </c>
      <c r="H276" s="1">
        <v>1</v>
      </c>
      <c r="I276" s="1">
        <v>2</v>
      </c>
      <c r="J276" s="1" t="s">
        <v>190</v>
      </c>
      <c r="K276" s="1">
        <v>22.68</v>
      </c>
      <c r="L276" s="1">
        <v>1</v>
      </c>
      <c r="M276" s="1">
        <v>1</v>
      </c>
      <c r="N276" s="1">
        <v>0</v>
      </c>
      <c r="O276" s="1">
        <v>1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1</v>
      </c>
      <c r="Z276" s="1">
        <v>2</v>
      </c>
      <c r="AA276">
        <v>0.29710999999999999</v>
      </c>
      <c r="AB276" s="1">
        <v>7.81</v>
      </c>
      <c r="AC276" s="1">
        <v>33</v>
      </c>
      <c r="AD276">
        <f>AB276*100/AC276</f>
        <v>23.666666666666668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2</v>
      </c>
      <c r="BE276" s="1">
        <v>0</v>
      </c>
      <c r="BF276" s="1">
        <v>0</v>
      </c>
      <c r="BG276" s="1">
        <v>28</v>
      </c>
      <c r="BH276" s="1">
        <v>25034.720000000001</v>
      </c>
      <c r="BI276" s="1">
        <v>0</v>
      </c>
      <c r="BJ276" s="1">
        <v>1</v>
      </c>
    </row>
    <row r="277" spans="1:62" x14ac:dyDescent="0.3">
      <c r="A277" s="1">
        <v>1</v>
      </c>
      <c r="B277" s="1">
        <v>276</v>
      </c>
      <c r="C277" s="1" t="s">
        <v>60</v>
      </c>
      <c r="D277">
        <v>0</v>
      </c>
      <c r="E277" s="6">
        <v>42755</v>
      </c>
      <c r="F277" s="1" t="s">
        <v>56</v>
      </c>
      <c r="G277" s="1">
        <v>0</v>
      </c>
      <c r="H277" s="1">
        <v>0</v>
      </c>
      <c r="I277" s="1">
        <v>2</v>
      </c>
      <c r="J277" s="1" t="s">
        <v>195</v>
      </c>
      <c r="K277" s="1">
        <v>26.56</v>
      </c>
      <c r="L277" s="1">
        <v>2</v>
      </c>
      <c r="M277" s="1">
        <v>1</v>
      </c>
      <c r="N277" s="1">
        <v>1</v>
      </c>
      <c r="O277" s="1">
        <v>0</v>
      </c>
      <c r="P277" s="1">
        <v>0</v>
      </c>
      <c r="Q277" s="1">
        <v>1</v>
      </c>
      <c r="R277" s="1">
        <v>0</v>
      </c>
      <c r="S277" s="1">
        <v>0</v>
      </c>
      <c r="T277" s="1">
        <v>1</v>
      </c>
      <c r="U277" s="1">
        <v>0</v>
      </c>
      <c r="V277" s="1">
        <v>1</v>
      </c>
      <c r="W277" s="1">
        <v>0</v>
      </c>
      <c r="X277" s="1">
        <v>0</v>
      </c>
      <c r="Y277" s="1">
        <v>0</v>
      </c>
      <c r="Z277" s="1">
        <v>2</v>
      </c>
      <c r="AA277">
        <v>1.34676</v>
      </c>
      <c r="AB277" s="1">
        <v>10.89</v>
      </c>
      <c r="AC277" s="1">
        <v>21</v>
      </c>
      <c r="AD277">
        <f>AB277*100/AC277</f>
        <v>51.857142857142854</v>
      </c>
      <c r="AE277" s="1">
        <v>5</v>
      </c>
      <c r="AF277" s="1">
        <v>508</v>
      </c>
      <c r="AG277" s="1">
        <v>2.62</v>
      </c>
      <c r="AH277" s="1">
        <v>196</v>
      </c>
      <c r="AI277" s="1">
        <v>6.33</v>
      </c>
      <c r="AJ277" s="1">
        <v>9.33</v>
      </c>
      <c r="AK277" s="1">
        <v>67.099999999999994</v>
      </c>
      <c r="AL277" s="1">
        <v>53.5</v>
      </c>
      <c r="AM277" s="1">
        <v>13.5</v>
      </c>
      <c r="AN277" s="1">
        <v>1979</v>
      </c>
      <c r="AO277" s="1">
        <v>999</v>
      </c>
      <c r="AP277" s="1">
        <v>398</v>
      </c>
      <c r="AQ277">
        <f>AL277/AM277</f>
        <v>3.9629629629629628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1</v>
      </c>
      <c r="BE277" s="1">
        <v>0</v>
      </c>
      <c r="BF277" s="1">
        <v>0</v>
      </c>
      <c r="BG277" s="1">
        <v>19</v>
      </c>
      <c r="BH277" s="1">
        <v>20263.82</v>
      </c>
      <c r="BI277" s="1">
        <v>0</v>
      </c>
      <c r="BJ277" s="1">
        <v>1</v>
      </c>
    </row>
    <row r="278" spans="1:62" x14ac:dyDescent="0.3">
      <c r="A278">
        <v>1</v>
      </c>
      <c r="B278">
        <v>277</v>
      </c>
      <c r="C278" s="1" t="s">
        <v>60</v>
      </c>
      <c r="D278">
        <v>0</v>
      </c>
      <c r="E278" s="2">
        <v>43509</v>
      </c>
      <c r="F278" t="s">
        <v>64</v>
      </c>
      <c r="G278" s="1">
        <v>0</v>
      </c>
      <c r="H278" s="1">
        <v>0</v>
      </c>
      <c r="I278" s="1">
        <v>2</v>
      </c>
      <c r="J278" s="1" t="s">
        <v>193</v>
      </c>
      <c r="K278" s="1">
        <v>21.88</v>
      </c>
      <c r="L278" s="1">
        <v>0</v>
      </c>
      <c r="M278" s="1">
        <v>1</v>
      </c>
      <c r="N278" s="1">
        <v>1</v>
      </c>
      <c r="O278" s="1">
        <v>1</v>
      </c>
      <c r="P278" s="1">
        <v>1</v>
      </c>
      <c r="Q278" s="1">
        <v>1</v>
      </c>
      <c r="R278" s="1">
        <v>0</v>
      </c>
      <c r="S278" s="1">
        <v>1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1</v>
      </c>
      <c r="AA278" s="1">
        <v>2.27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1</v>
      </c>
      <c r="BE278" s="1">
        <v>0</v>
      </c>
      <c r="BF278" s="1">
        <v>0</v>
      </c>
      <c r="BG278" s="1">
        <v>8</v>
      </c>
      <c r="BH278">
        <f>701.44+3800+179+435+355+375+2.94</f>
        <v>5848.38</v>
      </c>
      <c r="BI278" s="1">
        <v>1</v>
      </c>
      <c r="BJ278" s="1">
        <v>0</v>
      </c>
    </row>
    <row r="279" spans="1:62" x14ac:dyDescent="0.3">
      <c r="A279">
        <v>2</v>
      </c>
      <c r="B279" s="1">
        <v>278</v>
      </c>
      <c r="C279" t="s">
        <v>49</v>
      </c>
      <c r="D279">
        <v>0</v>
      </c>
      <c r="E279" s="2">
        <v>43497</v>
      </c>
      <c r="F279" t="s">
        <v>88</v>
      </c>
      <c r="G279" s="1">
        <v>0</v>
      </c>
      <c r="H279" s="1">
        <v>0</v>
      </c>
      <c r="I279" s="1">
        <v>2</v>
      </c>
      <c r="J279" s="1" t="s">
        <v>195</v>
      </c>
      <c r="K279" s="1">
        <v>25.34</v>
      </c>
      <c r="L279" s="1">
        <v>1</v>
      </c>
      <c r="M279" s="1">
        <v>1</v>
      </c>
      <c r="N279" s="1">
        <v>0</v>
      </c>
      <c r="O279" s="1">
        <v>0</v>
      </c>
      <c r="P279" s="1">
        <v>1</v>
      </c>
      <c r="Q279" s="1">
        <v>1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1</v>
      </c>
      <c r="AA279" s="1">
        <v>0.79</v>
      </c>
      <c r="AB279" s="1">
        <v>12.12</v>
      </c>
      <c r="AC279" s="1">
        <v>21</v>
      </c>
      <c r="AD279">
        <f>AB279*100/AC279</f>
        <v>57.714285714285715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2</v>
      </c>
      <c r="BE279" s="1">
        <v>0</v>
      </c>
      <c r="BF279" s="1">
        <v>0</v>
      </c>
      <c r="BG279" s="1">
        <v>81</v>
      </c>
      <c r="BH279">
        <f>19846+21827</f>
        <v>41673</v>
      </c>
      <c r="BI279" s="1">
        <v>0</v>
      </c>
      <c r="BJ279" s="1">
        <v>0</v>
      </c>
    </row>
    <row r="280" spans="1:62" x14ac:dyDescent="0.3">
      <c r="A280">
        <v>2</v>
      </c>
      <c r="B280" s="1">
        <v>279</v>
      </c>
      <c r="C280" s="1" t="s">
        <v>133</v>
      </c>
      <c r="D280">
        <v>1</v>
      </c>
      <c r="E280" s="2">
        <v>43495</v>
      </c>
      <c r="F280" t="s">
        <v>85</v>
      </c>
      <c r="G280" s="1">
        <v>0</v>
      </c>
      <c r="H280" s="1">
        <v>0</v>
      </c>
      <c r="I280" s="1">
        <v>2</v>
      </c>
      <c r="J280" s="1" t="s">
        <v>191</v>
      </c>
      <c r="K280" s="1">
        <v>20.38</v>
      </c>
      <c r="L280" s="1">
        <v>0</v>
      </c>
      <c r="M280" s="1">
        <v>1</v>
      </c>
      <c r="N280" s="1">
        <v>1</v>
      </c>
      <c r="O280" s="1">
        <v>0</v>
      </c>
      <c r="P280" s="1">
        <v>0</v>
      </c>
      <c r="Q280" s="1">
        <v>1</v>
      </c>
      <c r="R280" s="1">
        <v>1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1">
        <v>0</v>
      </c>
      <c r="Z280" s="1">
        <v>1</v>
      </c>
      <c r="AA280" s="1">
        <v>0.8</v>
      </c>
      <c r="AB280" s="1">
        <v>8.42</v>
      </c>
      <c r="AC280" s="1">
        <v>21</v>
      </c>
      <c r="AD280">
        <f>AB280*100/AC280</f>
        <v>40.095238095238095</v>
      </c>
      <c r="AK280">
        <v>66</v>
      </c>
      <c r="AL280">
        <v>46.4</v>
      </c>
      <c r="AM280">
        <v>19.8</v>
      </c>
      <c r="AN280">
        <v>528</v>
      </c>
      <c r="AO280">
        <v>371</v>
      </c>
      <c r="AP280">
        <v>158</v>
      </c>
      <c r="AQ280">
        <f>AL280/AM280</f>
        <v>2.3434343434343434</v>
      </c>
      <c r="AR280">
        <v>1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3</v>
      </c>
      <c r="BE280" s="1">
        <v>0</v>
      </c>
      <c r="BF280" s="1">
        <v>0</v>
      </c>
      <c r="BG280" s="1">
        <v>19</v>
      </c>
      <c r="BH280">
        <f>8298+12840+2430+521+1102+988+950+1766.13</f>
        <v>28895.13</v>
      </c>
      <c r="BI280" s="1">
        <v>1</v>
      </c>
      <c r="BJ280" s="1">
        <v>1</v>
      </c>
    </row>
    <row r="281" spans="1:62" x14ac:dyDescent="0.3">
      <c r="A281" s="1">
        <v>1</v>
      </c>
      <c r="B281">
        <v>280</v>
      </c>
      <c r="C281" s="1" t="s">
        <v>54</v>
      </c>
      <c r="D281">
        <v>0</v>
      </c>
      <c r="E281" s="6">
        <v>42733</v>
      </c>
      <c r="F281" s="1" t="s">
        <v>64</v>
      </c>
      <c r="G281" s="1">
        <v>0</v>
      </c>
      <c r="H281" s="1">
        <v>0</v>
      </c>
      <c r="I281" s="1">
        <v>3</v>
      </c>
      <c r="J281" s="1" t="s">
        <v>187</v>
      </c>
      <c r="K281" s="1">
        <v>20.03</v>
      </c>
      <c r="L281" s="1">
        <v>0</v>
      </c>
      <c r="M281" s="1">
        <v>1</v>
      </c>
      <c r="N281" s="1">
        <v>1</v>
      </c>
      <c r="O281" s="1">
        <v>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1</v>
      </c>
      <c r="Z281" s="1">
        <v>2</v>
      </c>
      <c r="AA281">
        <v>1.6884000000000001</v>
      </c>
      <c r="AE281" s="1">
        <v>5</v>
      </c>
      <c r="AF281" s="1">
        <v>334</v>
      </c>
      <c r="AG281" s="1">
        <v>2.46</v>
      </c>
      <c r="AH281" s="1">
        <v>68.400000000000006</v>
      </c>
      <c r="AI281" s="1">
        <v>5</v>
      </c>
      <c r="AK281" s="1">
        <v>66.7</v>
      </c>
      <c r="AL281" s="1">
        <v>49</v>
      </c>
      <c r="AM281" s="1">
        <v>15.2</v>
      </c>
      <c r="AN281" s="1">
        <v>1134</v>
      </c>
      <c r="AO281" s="1">
        <v>833</v>
      </c>
      <c r="AP281" s="1">
        <v>258</v>
      </c>
      <c r="AQ281">
        <f>AL281/AM281</f>
        <v>3.2236842105263159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13</v>
      </c>
      <c r="BH281" s="1">
        <v>25222.99</v>
      </c>
      <c r="BI281" s="1">
        <v>0</v>
      </c>
      <c r="BJ281" s="1">
        <v>1</v>
      </c>
    </row>
    <row r="282" spans="1:62" x14ac:dyDescent="0.3">
      <c r="A282" s="1">
        <v>1</v>
      </c>
      <c r="B282" s="1">
        <v>281</v>
      </c>
      <c r="C282" s="1" t="s">
        <v>51</v>
      </c>
      <c r="D282">
        <v>0</v>
      </c>
      <c r="E282" s="6">
        <v>42818</v>
      </c>
      <c r="F282" s="1" t="s">
        <v>64</v>
      </c>
      <c r="G282" s="1">
        <v>0</v>
      </c>
      <c r="H282" s="1">
        <v>0</v>
      </c>
      <c r="I282" s="1">
        <v>2</v>
      </c>
      <c r="J282" s="1" t="s">
        <v>192</v>
      </c>
      <c r="K282" s="1">
        <v>18.78</v>
      </c>
      <c r="L282" s="1">
        <v>1</v>
      </c>
      <c r="M282" s="1">
        <v>1</v>
      </c>
      <c r="N282" s="1">
        <v>1</v>
      </c>
      <c r="O282" s="1">
        <v>1</v>
      </c>
      <c r="P282" s="1">
        <v>1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1</v>
      </c>
      <c r="Z282" s="1">
        <v>2</v>
      </c>
      <c r="AA282">
        <v>1.4221400000000002</v>
      </c>
      <c r="AB282" s="1">
        <v>9.1199999999999992</v>
      </c>
      <c r="AC282" s="1">
        <v>21</v>
      </c>
      <c r="AD282">
        <f>AB282*100/AC282</f>
        <v>43.428571428571423</v>
      </c>
      <c r="AR282" s="1">
        <v>1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1</v>
      </c>
      <c r="BE282" s="1">
        <v>0</v>
      </c>
      <c r="BF282" s="1">
        <v>0</v>
      </c>
      <c r="BG282" s="1">
        <v>24</v>
      </c>
      <c r="BH282" s="1">
        <v>25569.040000000001</v>
      </c>
      <c r="BI282" s="1">
        <v>0</v>
      </c>
      <c r="BJ282" s="1">
        <v>0</v>
      </c>
    </row>
    <row r="283" spans="1:62" x14ac:dyDescent="0.3">
      <c r="A283" s="1">
        <v>1</v>
      </c>
      <c r="B283">
        <v>282</v>
      </c>
      <c r="C283" s="1" t="s">
        <v>74</v>
      </c>
      <c r="D283">
        <v>0</v>
      </c>
      <c r="E283" s="6">
        <v>42584</v>
      </c>
      <c r="F283" s="1" t="s">
        <v>64</v>
      </c>
      <c r="G283" s="1">
        <v>0</v>
      </c>
      <c r="H283" s="1">
        <v>0</v>
      </c>
      <c r="I283" s="1">
        <v>2</v>
      </c>
      <c r="J283" s="1" t="s">
        <v>192</v>
      </c>
      <c r="K283" s="1">
        <v>24.44</v>
      </c>
      <c r="L283" s="1">
        <v>0</v>
      </c>
      <c r="M283" s="1">
        <v>1</v>
      </c>
      <c r="N283" s="1">
        <v>1</v>
      </c>
      <c r="O283" s="1">
        <v>0</v>
      </c>
      <c r="P283" s="1">
        <v>1</v>
      </c>
      <c r="Q283" s="1">
        <v>1</v>
      </c>
      <c r="R283" s="1">
        <v>0</v>
      </c>
      <c r="S283" s="1">
        <v>1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2</v>
      </c>
      <c r="AA283">
        <v>2.1113999999999997</v>
      </c>
      <c r="AB283" s="1">
        <v>9.3000000000000007</v>
      </c>
      <c r="AC283" s="1">
        <v>21</v>
      </c>
      <c r="AD283">
        <f>AB283*100/AC283</f>
        <v>44.285714285714292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1</v>
      </c>
      <c r="BE283" s="1">
        <v>0</v>
      </c>
      <c r="BF283" s="1">
        <v>0</v>
      </c>
      <c r="BG283" s="1">
        <v>6</v>
      </c>
      <c r="BH283" s="1">
        <v>6455.4</v>
      </c>
      <c r="BI283" s="1">
        <v>0</v>
      </c>
      <c r="BJ283" s="1">
        <v>0</v>
      </c>
    </row>
    <row r="284" spans="1:62" x14ac:dyDescent="0.3">
      <c r="A284" s="1">
        <v>1</v>
      </c>
      <c r="B284" s="1">
        <v>283</v>
      </c>
      <c r="C284" s="1" t="s">
        <v>51</v>
      </c>
      <c r="D284">
        <v>0</v>
      </c>
      <c r="E284" s="6">
        <v>42972</v>
      </c>
      <c r="F284" s="1" t="s">
        <v>85</v>
      </c>
      <c r="G284" s="1">
        <v>0</v>
      </c>
      <c r="H284" s="1">
        <v>0</v>
      </c>
      <c r="I284" s="1">
        <v>2</v>
      </c>
      <c r="J284" s="1" t="s">
        <v>187</v>
      </c>
      <c r="K284" s="1">
        <v>13.27</v>
      </c>
      <c r="L284" s="1">
        <v>0</v>
      </c>
      <c r="M284" s="1">
        <v>0</v>
      </c>
      <c r="N284" s="1">
        <v>1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1</v>
      </c>
      <c r="X284" s="1">
        <v>1</v>
      </c>
      <c r="Y284" s="1">
        <v>0</v>
      </c>
      <c r="Z284" s="1">
        <v>1</v>
      </c>
      <c r="AA284">
        <v>0.35070000000000001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1</v>
      </c>
      <c r="BE284" s="1">
        <v>0</v>
      </c>
      <c r="BF284" s="1">
        <v>0</v>
      </c>
      <c r="BG284" s="1">
        <v>15</v>
      </c>
      <c r="BH284" s="1">
        <v>26209.64</v>
      </c>
      <c r="BI284" s="1">
        <v>0</v>
      </c>
      <c r="BJ284" s="1">
        <v>0</v>
      </c>
    </row>
    <row r="285" spans="1:62" x14ac:dyDescent="0.3">
      <c r="A285" s="1">
        <v>1</v>
      </c>
      <c r="B285" s="1">
        <v>284</v>
      </c>
      <c r="C285" s="1" t="s">
        <v>92</v>
      </c>
      <c r="D285">
        <v>0</v>
      </c>
      <c r="E285" s="6">
        <v>43006</v>
      </c>
      <c r="F285" s="1" t="s">
        <v>61</v>
      </c>
      <c r="G285" s="1">
        <v>0</v>
      </c>
      <c r="H285" s="1">
        <v>1</v>
      </c>
      <c r="I285" s="1">
        <v>2</v>
      </c>
      <c r="J285" s="1" t="s">
        <v>186</v>
      </c>
      <c r="K285" s="1">
        <v>24.03</v>
      </c>
      <c r="L285" s="1">
        <v>0</v>
      </c>
      <c r="M285" s="1">
        <v>1</v>
      </c>
      <c r="N285" s="1">
        <v>1</v>
      </c>
      <c r="O285" s="1">
        <v>1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2</v>
      </c>
      <c r="AA285">
        <v>1.1420400000000002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3</v>
      </c>
      <c r="BE285" s="1">
        <v>1</v>
      </c>
      <c r="BF285" s="1">
        <v>1</v>
      </c>
      <c r="BG285" s="1">
        <v>19</v>
      </c>
      <c r="BH285" s="1">
        <v>26241.13</v>
      </c>
      <c r="BI285" s="1">
        <v>0</v>
      </c>
      <c r="BJ285" s="1">
        <v>0</v>
      </c>
    </row>
    <row r="286" spans="1:62" x14ac:dyDescent="0.3">
      <c r="A286">
        <v>1</v>
      </c>
      <c r="B286">
        <v>285</v>
      </c>
      <c r="C286" s="1" t="s">
        <v>60</v>
      </c>
      <c r="D286">
        <v>0</v>
      </c>
      <c r="E286" s="2">
        <v>43474</v>
      </c>
      <c r="F286" t="s">
        <v>67</v>
      </c>
      <c r="G286" s="1">
        <v>0</v>
      </c>
      <c r="H286" s="1">
        <v>0</v>
      </c>
      <c r="I286" s="1">
        <v>2</v>
      </c>
      <c r="J286" s="1" t="s">
        <v>189</v>
      </c>
      <c r="K286" s="1">
        <v>22.96</v>
      </c>
      <c r="L286" s="1">
        <v>1</v>
      </c>
      <c r="M286" s="1">
        <v>1</v>
      </c>
      <c r="N286" s="1">
        <v>1</v>
      </c>
      <c r="O286" s="1">
        <v>0</v>
      </c>
      <c r="P286" s="1">
        <v>1</v>
      </c>
      <c r="Q286" s="1">
        <v>1</v>
      </c>
      <c r="R286" s="1">
        <v>1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1</v>
      </c>
      <c r="Z286" s="1">
        <v>2</v>
      </c>
      <c r="AA286" s="1">
        <v>1.58</v>
      </c>
      <c r="AK286">
        <v>70</v>
      </c>
      <c r="AL286">
        <v>39.6</v>
      </c>
      <c r="AM286">
        <v>29.8</v>
      </c>
      <c r="AN286">
        <v>1106</v>
      </c>
      <c r="AO286">
        <v>626</v>
      </c>
      <c r="AP286">
        <v>471</v>
      </c>
      <c r="AQ286">
        <f>AL286/AM286</f>
        <v>1.3288590604026846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 s="1">
        <v>0</v>
      </c>
      <c r="BF286" s="1">
        <v>0</v>
      </c>
      <c r="BG286" s="1">
        <v>7</v>
      </c>
      <c r="BH286">
        <f>4074.18+24.32+7751+726+205+435+465+375+184.28</f>
        <v>14239.78</v>
      </c>
      <c r="BI286" s="1">
        <v>0</v>
      </c>
      <c r="BJ286" s="1">
        <v>0</v>
      </c>
    </row>
    <row r="287" spans="1:62" x14ac:dyDescent="0.3">
      <c r="A287">
        <v>1</v>
      </c>
      <c r="B287" s="1">
        <v>286</v>
      </c>
      <c r="C287" s="1" t="s">
        <v>60</v>
      </c>
      <c r="D287">
        <v>0</v>
      </c>
      <c r="E287" s="2">
        <v>43521</v>
      </c>
      <c r="F287" t="s">
        <v>56</v>
      </c>
      <c r="G287" s="1">
        <v>0</v>
      </c>
      <c r="H287" s="1">
        <v>0</v>
      </c>
      <c r="I287" s="1">
        <v>3</v>
      </c>
      <c r="J287" s="1" t="s">
        <v>188</v>
      </c>
      <c r="K287" s="1">
        <v>24.49</v>
      </c>
      <c r="L287" s="1">
        <v>1</v>
      </c>
      <c r="M287" s="1">
        <v>1</v>
      </c>
      <c r="N287" s="1">
        <v>1</v>
      </c>
      <c r="O287" s="1">
        <v>0</v>
      </c>
      <c r="P287" s="1">
        <v>1</v>
      </c>
      <c r="Q287" s="1">
        <v>1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</v>
      </c>
      <c r="AA287" s="1">
        <v>0.82</v>
      </c>
      <c r="AB287" s="1">
        <v>7.59</v>
      </c>
      <c r="AC287" s="1">
        <v>21</v>
      </c>
      <c r="AD287">
        <f>AB287*100/AC287</f>
        <v>36.142857142857146</v>
      </c>
      <c r="AK287">
        <v>76.3</v>
      </c>
      <c r="AL287">
        <v>56.3</v>
      </c>
      <c r="AM287">
        <v>19</v>
      </c>
      <c r="AQ287">
        <f>AL287/AM287</f>
        <v>2.9631578947368418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 s="1">
        <v>0</v>
      </c>
      <c r="BF287" s="1">
        <v>0</v>
      </c>
      <c r="BG287" s="1">
        <v>10</v>
      </c>
      <c r="BH287">
        <f>3270.16+5942+320+156+580+420+500+94.5</f>
        <v>11282.66</v>
      </c>
      <c r="BI287" s="1">
        <v>1</v>
      </c>
      <c r="BJ287" s="1">
        <v>0</v>
      </c>
    </row>
    <row r="288" spans="1:62" x14ac:dyDescent="0.3">
      <c r="A288" s="1">
        <v>1</v>
      </c>
      <c r="B288">
        <v>287</v>
      </c>
      <c r="C288" s="1" t="s">
        <v>120</v>
      </c>
      <c r="D288">
        <v>0</v>
      </c>
      <c r="E288" s="6">
        <v>43250</v>
      </c>
      <c r="F288" s="1" t="s">
        <v>99</v>
      </c>
      <c r="G288" s="1">
        <v>0</v>
      </c>
      <c r="H288" s="1">
        <v>0</v>
      </c>
      <c r="I288" s="1">
        <v>2</v>
      </c>
      <c r="J288" s="1" t="s">
        <v>195</v>
      </c>
      <c r="K288" s="1">
        <v>23.83</v>
      </c>
      <c r="L288" s="1">
        <v>0</v>
      </c>
      <c r="M288" s="1">
        <v>1</v>
      </c>
      <c r="N288" s="1">
        <v>1</v>
      </c>
      <c r="O288" s="1">
        <v>0</v>
      </c>
      <c r="P288" s="1">
        <v>1</v>
      </c>
      <c r="Q288" s="1">
        <v>1</v>
      </c>
      <c r="R288" s="1">
        <v>0</v>
      </c>
      <c r="S288" s="1">
        <v>0</v>
      </c>
      <c r="T288" s="1">
        <v>0</v>
      </c>
      <c r="U288" s="1">
        <v>0</v>
      </c>
      <c r="V288" s="1">
        <v>1</v>
      </c>
      <c r="W288" s="1">
        <v>0</v>
      </c>
      <c r="X288" s="1">
        <v>0</v>
      </c>
      <c r="Y288" s="1">
        <v>0</v>
      </c>
      <c r="Z288" s="1">
        <v>2</v>
      </c>
      <c r="AA288">
        <v>1.0425800000000001</v>
      </c>
      <c r="AB288" s="1">
        <v>10.56</v>
      </c>
      <c r="AC288" s="1">
        <v>21</v>
      </c>
      <c r="AD288">
        <f>AB288*100/AC288</f>
        <v>50.285714285714285</v>
      </c>
      <c r="AR288">
        <v>1</v>
      </c>
      <c r="AS288">
        <v>1</v>
      </c>
      <c r="AT288">
        <v>0</v>
      </c>
      <c r="AU288">
        <v>0</v>
      </c>
      <c r="AV288">
        <v>0</v>
      </c>
      <c r="AW288">
        <v>1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 s="1">
        <v>2</v>
      </c>
      <c r="BE288" s="1">
        <v>0</v>
      </c>
      <c r="BF288" s="1">
        <v>0</v>
      </c>
      <c r="BG288" s="1">
        <v>38</v>
      </c>
      <c r="BH288" s="1">
        <v>40913.26</v>
      </c>
      <c r="BI288" s="1">
        <v>0</v>
      </c>
      <c r="BJ288" s="1">
        <v>0</v>
      </c>
    </row>
    <row r="289" spans="1:62" x14ac:dyDescent="0.3">
      <c r="A289" s="1">
        <v>1</v>
      </c>
      <c r="B289" s="1">
        <v>288</v>
      </c>
      <c r="C289" s="1" t="s">
        <v>49</v>
      </c>
      <c r="D289">
        <v>0</v>
      </c>
      <c r="E289" s="6">
        <v>42809</v>
      </c>
      <c r="F289" s="1" t="s">
        <v>53</v>
      </c>
      <c r="G289" s="1">
        <v>0</v>
      </c>
      <c r="H289" s="1">
        <v>0</v>
      </c>
      <c r="I289" s="1">
        <v>2</v>
      </c>
      <c r="J289" s="1" t="s">
        <v>195</v>
      </c>
      <c r="K289" s="1">
        <v>22.2</v>
      </c>
      <c r="L289" s="1">
        <v>2</v>
      </c>
      <c r="M289" s="1">
        <v>1</v>
      </c>
      <c r="N289" s="1">
        <v>0</v>
      </c>
      <c r="O289" s="1">
        <v>0</v>
      </c>
      <c r="P289" s="1">
        <v>1</v>
      </c>
      <c r="Q289" s="1">
        <v>1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2</v>
      </c>
      <c r="AA289">
        <v>1.21346</v>
      </c>
      <c r="AB289" s="1">
        <v>13.23</v>
      </c>
      <c r="AC289" s="1">
        <v>21</v>
      </c>
      <c r="AD289">
        <f>AB289*100/AC289</f>
        <v>63</v>
      </c>
      <c r="AK289" s="1">
        <v>82.2</v>
      </c>
      <c r="AL289" s="1">
        <v>35.799999999999997</v>
      </c>
      <c r="AM289" s="1">
        <v>44.2</v>
      </c>
      <c r="AQ289">
        <f>AL289/AM289</f>
        <v>0.80995475113122162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>
        <v>1</v>
      </c>
      <c r="BD289" s="1">
        <v>1</v>
      </c>
      <c r="BE289" s="1">
        <v>0</v>
      </c>
      <c r="BF289" s="1">
        <v>0</v>
      </c>
      <c r="BG289" s="1">
        <v>23</v>
      </c>
      <c r="BH289" s="1">
        <v>18616.18</v>
      </c>
      <c r="BI289" s="1">
        <v>0</v>
      </c>
      <c r="BJ289" s="1">
        <v>0</v>
      </c>
    </row>
    <row r="290" spans="1:62" x14ac:dyDescent="0.3">
      <c r="A290">
        <v>1</v>
      </c>
      <c r="B290" s="1">
        <v>289</v>
      </c>
      <c r="C290" t="s">
        <v>49</v>
      </c>
      <c r="D290">
        <v>0</v>
      </c>
      <c r="E290" s="2">
        <v>43509</v>
      </c>
      <c r="F290" t="s">
        <v>64</v>
      </c>
      <c r="G290" s="1">
        <v>0</v>
      </c>
      <c r="H290" s="1">
        <v>0</v>
      </c>
      <c r="I290" s="1">
        <v>3</v>
      </c>
      <c r="J290" s="1" t="s">
        <v>183</v>
      </c>
      <c r="K290" s="1">
        <v>21.38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1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1">
        <v>0</v>
      </c>
      <c r="Z290" s="1">
        <v>1</v>
      </c>
      <c r="AA290" s="1">
        <v>0.6</v>
      </c>
      <c r="AB290" s="1">
        <v>11.47</v>
      </c>
      <c r="AC290" s="1">
        <v>21</v>
      </c>
      <c r="AD290">
        <f>AB290*100/AC290</f>
        <v>54.61904761904762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1</v>
      </c>
      <c r="BE290" s="1">
        <v>0</v>
      </c>
      <c r="BF290" s="1">
        <v>0</v>
      </c>
      <c r="BG290" s="1">
        <v>22</v>
      </c>
      <c r="BH290">
        <f>15154.3+10527+1686+70+313+480+1276+1144+1100+458.85</f>
        <v>32209.149999999998</v>
      </c>
      <c r="BI290" s="1">
        <v>1</v>
      </c>
      <c r="BJ290" s="1">
        <v>0</v>
      </c>
    </row>
    <row r="291" spans="1:62" x14ac:dyDescent="0.3">
      <c r="A291" s="1">
        <v>1</v>
      </c>
      <c r="B291">
        <v>290</v>
      </c>
      <c r="C291" s="1" t="s">
        <v>51</v>
      </c>
      <c r="D291">
        <v>0</v>
      </c>
      <c r="E291" s="6">
        <v>42837</v>
      </c>
      <c r="F291" s="1" t="s">
        <v>85</v>
      </c>
      <c r="G291" s="1">
        <v>0</v>
      </c>
      <c r="H291" s="1">
        <v>0</v>
      </c>
      <c r="I291" s="1">
        <v>3</v>
      </c>
      <c r="J291" s="1" t="s">
        <v>190</v>
      </c>
      <c r="K291" s="1">
        <v>23.83</v>
      </c>
      <c r="L291" s="1">
        <v>0</v>
      </c>
      <c r="M291" s="1">
        <v>0</v>
      </c>
      <c r="N291" s="1">
        <v>1</v>
      </c>
      <c r="O291" s="1">
        <v>0</v>
      </c>
      <c r="P291" s="1">
        <v>1</v>
      </c>
      <c r="Q291" s="1">
        <v>1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1">
        <v>0</v>
      </c>
      <c r="Z291" s="1">
        <v>1</v>
      </c>
      <c r="AA291">
        <v>0.79909999999999992</v>
      </c>
      <c r="AK291" s="1">
        <v>81.599999999999994</v>
      </c>
      <c r="AL291" s="1">
        <v>58.2</v>
      </c>
      <c r="AM291" s="1">
        <v>17.899999999999999</v>
      </c>
      <c r="AN291" s="1">
        <v>653</v>
      </c>
      <c r="AO291" s="1">
        <v>466</v>
      </c>
      <c r="AP291" s="1">
        <v>143</v>
      </c>
      <c r="AQ291">
        <f t="shared" ref="AQ291:AQ296" si="5">AL291/AM291</f>
        <v>3.2513966480446932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1</v>
      </c>
      <c r="BE291" s="1">
        <v>0</v>
      </c>
      <c r="BF291" s="1">
        <v>0</v>
      </c>
      <c r="BG291" s="1">
        <v>13</v>
      </c>
      <c r="BH291" s="1">
        <v>18293.02</v>
      </c>
      <c r="BI291" s="1">
        <v>0</v>
      </c>
      <c r="BJ291" s="1">
        <v>1</v>
      </c>
    </row>
    <row r="292" spans="1:62" x14ac:dyDescent="0.3">
      <c r="A292" s="1">
        <v>1</v>
      </c>
      <c r="B292" s="1">
        <v>291</v>
      </c>
      <c r="C292" s="1" t="s">
        <v>60</v>
      </c>
      <c r="D292">
        <v>0</v>
      </c>
      <c r="E292" s="6">
        <v>43111</v>
      </c>
      <c r="F292" s="1" t="s">
        <v>53</v>
      </c>
      <c r="G292" s="1">
        <v>0</v>
      </c>
      <c r="H292" s="1">
        <v>1</v>
      </c>
      <c r="I292" s="1">
        <v>2</v>
      </c>
      <c r="J292" s="1" t="s">
        <v>190</v>
      </c>
      <c r="K292" s="1">
        <v>33.799999999999997</v>
      </c>
      <c r="L292" s="1">
        <v>1</v>
      </c>
      <c r="M292" s="1">
        <v>1</v>
      </c>
      <c r="N292" s="1">
        <v>1</v>
      </c>
      <c r="O292" s="1">
        <v>0</v>
      </c>
      <c r="P292" s="1">
        <v>1</v>
      </c>
      <c r="Q292" s="1">
        <v>1</v>
      </c>
      <c r="R292" s="1">
        <v>1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2</v>
      </c>
      <c r="AA292">
        <v>0.75659999999999994</v>
      </c>
      <c r="AB292" s="1">
        <v>7.34</v>
      </c>
      <c r="AC292" s="1">
        <v>21</v>
      </c>
      <c r="AD292">
        <f>AB292*100/AC292</f>
        <v>34.952380952380949</v>
      </c>
      <c r="AE292" s="1">
        <v>5</v>
      </c>
      <c r="AF292" s="1">
        <v>957</v>
      </c>
      <c r="AG292" s="1">
        <v>8.0299999999999994</v>
      </c>
      <c r="AH292" s="1">
        <v>17.3</v>
      </c>
      <c r="AI292" s="1">
        <v>11.8</v>
      </c>
      <c r="AJ292" s="1">
        <v>9.43</v>
      </c>
      <c r="AK292" s="1">
        <v>42.6</v>
      </c>
      <c r="AL292" s="1">
        <v>30.1</v>
      </c>
      <c r="AM292" s="1">
        <v>11.4</v>
      </c>
      <c r="AN292" s="1">
        <v>345</v>
      </c>
      <c r="AO292" s="1">
        <v>244</v>
      </c>
      <c r="AP292" s="1">
        <v>92</v>
      </c>
      <c r="AQ292">
        <f t="shared" si="5"/>
        <v>2.6403508771929824</v>
      </c>
      <c r="AR292" s="1">
        <v>1</v>
      </c>
      <c r="AS292" s="1">
        <v>0</v>
      </c>
      <c r="AT292" s="1">
        <v>1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13</v>
      </c>
      <c r="BH292" s="1">
        <v>24775.35</v>
      </c>
      <c r="BI292" s="1">
        <v>1</v>
      </c>
      <c r="BJ292" s="1">
        <v>1</v>
      </c>
    </row>
    <row r="293" spans="1:62" x14ac:dyDescent="0.3">
      <c r="A293" s="1">
        <v>1</v>
      </c>
      <c r="B293">
        <v>292</v>
      </c>
      <c r="C293" s="1" t="s">
        <v>57</v>
      </c>
      <c r="D293">
        <v>0</v>
      </c>
      <c r="E293" s="6">
        <v>42836</v>
      </c>
      <c r="F293" s="1" t="s">
        <v>64</v>
      </c>
      <c r="G293" s="1">
        <v>0</v>
      </c>
      <c r="H293" s="1">
        <v>0</v>
      </c>
      <c r="I293" s="1">
        <v>2</v>
      </c>
      <c r="J293" s="1" t="s">
        <v>189</v>
      </c>
      <c r="K293" s="1">
        <v>19.649999999999999</v>
      </c>
      <c r="L293" s="1">
        <v>0</v>
      </c>
      <c r="M293" s="1">
        <v>1</v>
      </c>
      <c r="N293" s="1">
        <v>1</v>
      </c>
      <c r="O293" s="1">
        <v>0</v>
      </c>
      <c r="P293" s="1">
        <v>1</v>
      </c>
      <c r="Q293" s="1">
        <v>0</v>
      </c>
      <c r="R293" s="1">
        <v>1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1</v>
      </c>
      <c r="Z293" s="1">
        <v>2</v>
      </c>
      <c r="AA293">
        <v>7.3967400000000012</v>
      </c>
      <c r="AE293" s="1">
        <v>5</v>
      </c>
      <c r="AF293" s="1">
        <v>2316</v>
      </c>
      <c r="AG293" s="1">
        <v>5.84</v>
      </c>
      <c r="AH293" s="1">
        <v>24.8</v>
      </c>
      <c r="AI293" s="1">
        <v>11.2</v>
      </c>
      <c r="AJ293" s="1">
        <v>29.3</v>
      </c>
      <c r="AK293" s="1">
        <v>83</v>
      </c>
      <c r="AL293" s="1">
        <v>57.8</v>
      </c>
      <c r="AM293" s="1">
        <v>22.6</v>
      </c>
      <c r="AN293" s="1">
        <v>2125</v>
      </c>
      <c r="AO293" s="1">
        <v>148</v>
      </c>
      <c r="AP293" s="1">
        <v>579</v>
      </c>
      <c r="AQ293">
        <f t="shared" si="5"/>
        <v>2.5575221238938051</v>
      </c>
      <c r="AR293" s="1">
        <v>1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14</v>
      </c>
      <c r="BH293" s="1">
        <v>27422.85</v>
      </c>
      <c r="BI293" s="1">
        <v>0</v>
      </c>
      <c r="BJ293" s="1">
        <v>0</v>
      </c>
    </row>
    <row r="294" spans="1:62" x14ac:dyDescent="0.3">
      <c r="A294" s="1">
        <v>1</v>
      </c>
      <c r="B294" s="1">
        <v>293</v>
      </c>
      <c r="C294" s="1" t="s">
        <v>54</v>
      </c>
      <c r="D294">
        <v>0</v>
      </c>
      <c r="E294" s="6">
        <v>42897</v>
      </c>
      <c r="F294" s="1" t="s">
        <v>85</v>
      </c>
      <c r="G294" s="1">
        <v>0</v>
      </c>
      <c r="H294" s="1">
        <v>0</v>
      </c>
      <c r="I294" s="1">
        <v>2</v>
      </c>
      <c r="J294" s="1" t="s">
        <v>194</v>
      </c>
      <c r="K294" s="1">
        <v>21.11</v>
      </c>
      <c r="L294" s="1">
        <v>0</v>
      </c>
      <c r="M294" s="1">
        <v>0</v>
      </c>
      <c r="N294" s="1">
        <v>1</v>
      </c>
      <c r="O294" s="1">
        <v>0</v>
      </c>
      <c r="P294" s="1">
        <v>0</v>
      </c>
      <c r="Q294" s="1">
        <v>1</v>
      </c>
      <c r="R294" s="1">
        <v>1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</v>
      </c>
      <c r="Y294" s="1">
        <v>0</v>
      </c>
      <c r="Z294" s="1">
        <v>2</v>
      </c>
      <c r="AA294">
        <v>1.0388000000000002</v>
      </c>
      <c r="AK294" s="1">
        <v>78.8</v>
      </c>
      <c r="AL294" s="1">
        <v>49.1</v>
      </c>
      <c r="AM294" s="1">
        <v>25.7</v>
      </c>
      <c r="AN294" s="1">
        <v>788</v>
      </c>
      <c r="AO294" s="1">
        <v>491</v>
      </c>
      <c r="AP294" s="1">
        <v>257</v>
      </c>
      <c r="AQ294">
        <f t="shared" si="5"/>
        <v>1.9105058365758756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2</v>
      </c>
      <c r="BE294" s="1">
        <v>0</v>
      </c>
      <c r="BF294" s="1">
        <v>0</v>
      </c>
      <c r="BG294" s="1">
        <v>9</v>
      </c>
      <c r="BH294" s="1">
        <v>14309.35</v>
      </c>
      <c r="BI294" s="1">
        <v>0</v>
      </c>
      <c r="BJ294" s="1">
        <v>0</v>
      </c>
    </row>
    <row r="295" spans="1:62" x14ac:dyDescent="0.3">
      <c r="A295" s="1">
        <v>1</v>
      </c>
      <c r="B295" s="1">
        <v>294</v>
      </c>
      <c r="C295" s="1" t="s">
        <v>60</v>
      </c>
      <c r="D295">
        <v>0</v>
      </c>
      <c r="E295" s="6">
        <v>42741</v>
      </c>
      <c r="F295" s="1" t="s">
        <v>53</v>
      </c>
      <c r="G295" s="1">
        <v>0</v>
      </c>
      <c r="H295" s="1">
        <v>1</v>
      </c>
      <c r="I295" s="1">
        <v>1</v>
      </c>
      <c r="J295" s="1" t="s">
        <v>183</v>
      </c>
      <c r="K295" s="1">
        <v>33.64</v>
      </c>
      <c r="L295" s="1">
        <v>1</v>
      </c>
      <c r="M295" s="1">
        <v>1</v>
      </c>
      <c r="N295" s="1">
        <v>1</v>
      </c>
      <c r="O295" s="1">
        <v>1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2</v>
      </c>
      <c r="AA295">
        <v>1.6540999999999999</v>
      </c>
      <c r="AB295" s="1">
        <v>11.18</v>
      </c>
      <c r="AC295" s="1">
        <v>21</v>
      </c>
      <c r="AD295">
        <f>AB295*100/AC295</f>
        <v>53.238095238095241</v>
      </c>
      <c r="AK295" s="1">
        <v>64.3</v>
      </c>
      <c r="AL295" s="1">
        <v>45.2</v>
      </c>
      <c r="AM295" s="1">
        <v>17.899999999999999</v>
      </c>
      <c r="AQ295">
        <f t="shared" si="5"/>
        <v>2.5251396648044695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1</v>
      </c>
      <c r="BE295" s="1">
        <v>0</v>
      </c>
      <c r="BF295" s="1">
        <v>0</v>
      </c>
      <c r="BG295" s="1">
        <v>25</v>
      </c>
      <c r="BH295" s="1">
        <v>27749.08</v>
      </c>
      <c r="BI295" s="1">
        <v>0</v>
      </c>
      <c r="BJ295" s="1">
        <v>0</v>
      </c>
    </row>
    <row r="296" spans="1:62" x14ac:dyDescent="0.3">
      <c r="A296">
        <v>1</v>
      </c>
      <c r="B296">
        <v>295</v>
      </c>
      <c r="C296" t="s">
        <v>71</v>
      </c>
      <c r="D296">
        <v>0</v>
      </c>
      <c r="E296" s="2">
        <v>43515</v>
      </c>
      <c r="F296" t="s">
        <v>121</v>
      </c>
      <c r="G296" s="1">
        <v>0</v>
      </c>
      <c r="H296" s="1">
        <v>0</v>
      </c>
      <c r="I296" s="1">
        <v>2</v>
      </c>
      <c r="J296" s="1" t="s">
        <v>196</v>
      </c>
      <c r="K296" s="1">
        <v>16.02</v>
      </c>
      <c r="L296" s="1">
        <v>0</v>
      </c>
      <c r="M296" s="1">
        <v>1</v>
      </c>
      <c r="N296" s="1">
        <v>1</v>
      </c>
      <c r="O296" s="1">
        <v>1</v>
      </c>
      <c r="P296" s="1">
        <v>1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1</v>
      </c>
      <c r="Z296" s="1">
        <v>2</v>
      </c>
      <c r="AA296" s="1">
        <v>0.88</v>
      </c>
      <c r="AB296" s="1">
        <v>10.07</v>
      </c>
      <c r="AC296" s="1">
        <v>21</v>
      </c>
      <c r="AD296">
        <f>AB296*100/AC296</f>
        <v>47.952380952380949</v>
      </c>
      <c r="AK296">
        <v>63</v>
      </c>
      <c r="AL296">
        <v>45.4</v>
      </c>
      <c r="AM296">
        <v>15.6</v>
      </c>
      <c r="AQ296">
        <f t="shared" si="5"/>
        <v>2.9102564102564101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1</v>
      </c>
      <c r="BE296" s="1">
        <v>0</v>
      </c>
      <c r="BF296" s="1">
        <v>0</v>
      </c>
      <c r="BG296" s="1">
        <v>22</v>
      </c>
      <c r="BH296">
        <f>11772.8+234.23+9666+1351+10+423+33+2200+924+1075+63</f>
        <v>27752.03</v>
      </c>
      <c r="BI296" s="1">
        <v>0</v>
      </c>
      <c r="BJ296" s="1">
        <v>0</v>
      </c>
    </row>
    <row r="297" spans="1:62" x14ac:dyDescent="0.3">
      <c r="A297" s="1">
        <v>1</v>
      </c>
      <c r="B297" s="1">
        <v>296</v>
      </c>
      <c r="C297" s="1" t="s">
        <v>60</v>
      </c>
      <c r="D297">
        <v>0</v>
      </c>
      <c r="E297" s="6">
        <v>43139</v>
      </c>
      <c r="F297" s="1" t="s">
        <v>85</v>
      </c>
      <c r="G297" s="1">
        <v>0</v>
      </c>
      <c r="H297" s="1">
        <v>0</v>
      </c>
      <c r="I297" s="1">
        <v>2</v>
      </c>
      <c r="J297" s="1" t="s">
        <v>190</v>
      </c>
      <c r="K297" s="1">
        <v>26.3</v>
      </c>
      <c r="L297" s="1">
        <v>1</v>
      </c>
      <c r="M297" s="1">
        <v>1</v>
      </c>
      <c r="N297" s="1">
        <v>1</v>
      </c>
      <c r="O297" s="1">
        <v>0</v>
      </c>
      <c r="P297" s="1">
        <v>1</v>
      </c>
      <c r="Q297" s="1">
        <v>1</v>
      </c>
      <c r="R297" s="1">
        <v>1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1</v>
      </c>
      <c r="Y297" s="1">
        <v>0</v>
      </c>
      <c r="Z297" s="1">
        <v>1</v>
      </c>
      <c r="AA297">
        <v>0.39556000000000002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6</v>
      </c>
      <c r="BH297" s="1">
        <v>7158.74</v>
      </c>
      <c r="BI297" s="1">
        <v>1</v>
      </c>
      <c r="BJ297" s="1">
        <v>0</v>
      </c>
    </row>
    <row r="298" spans="1:62" x14ac:dyDescent="0.3">
      <c r="A298" s="1">
        <v>1</v>
      </c>
      <c r="B298">
        <v>297</v>
      </c>
      <c r="C298" s="1" t="s">
        <v>69</v>
      </c>
      <c r="D298">
        <v>0</v>
      </c>
      <c r="E298" s="6">
        <v>42418</v>
      </c>
      <c r="F298" s="1" t="s">
        <v>56</v>
      </c>
      <c r="G298" s="1">
        <v>0</v>
      </c>
      <c r="H298" s="1">
        <v>0</v>
      </c>
      <c r="I298" s="1">
        <v>2</v>
      </c>
      <c r="J298" s="1" t="s">
        <v>186</v>
      </c>
      <c r="K298" s="1">
        <v>23.88</v>
      </c>
      <c r="L298" s="1">
        <v>0</v>
      </c>
      <c r="M298" s="1">
        <v>1</v>
      </c>
      <c r="N298" s="1">
        <v>1</v>
      </c>
      <c r="O298" s="1">
        <v>0</v>
      </c>
      <c r="P298" s="1">
        <v>0</v>
      </c>
      <c r="Q298" s="1">
        <v>1</v>
      </c>
      <c r="R298" s="1">
        <v>1</v>
      </c>
      <c r="S298" s="1">
        <v>0</v>
      </c>
      <c r="T298" s="1">
        <v>0</v>
      </c>
      <c r="U298" s="1">
        <v>0</v>
      </c>
      <c r="V298" s="1">
        <v>1</v>
      </c>
      <c r="W298" s="1">
        <v>0</v>
      </c>
      <c r="X298" s="1">
        <v>1</v>
      </c>
      <c r="Y298" s="1">
        <v>0</v>
      </c>
      <c r="Z298" s="1">
        <v>1</v>
      </c>
      <c r="AA298">
        <v>0.43142999999999998</v>
      </c>
      <c r="AK298" s="1">
        <v>73</v>
      </c>
      <c r="AL298" s="1">
        <v>44.3</v>
      </c>
      <c r="AM298" s="1">
        <v>25.4</v>
      </c>
      <c r="AQ298">
        <f>AL298/AM298</f>
        <v>1.7440944881889764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16</v>
      </c>
      <c r="BH298" s="1">
        <v>19280.759999999998</v>
      </c>
      <c r="BI298" s="1">
        <v>0</v>
      </c>
      <c r="BJ298" s="1">
        <v>0</v>
      </c>
    </row>
    <row r="299" spans="1:62" x14ac:dyDescent="0.3">
      <c r="A299" s="1">
        <v>1</v>
      </c>
      <c r="B299" s="1">
        <v>298</v>
      </c>
      <c r="C299" s="1" t="s">
        <v>100</v>
      </c>
      <c r="D299">
        <v>0</v>
      </c>
      <c r="E299" s="6">
        <v>43112</v>
      </c>
      <c r="F299" s="1" t="s">
        <v>88</v>
      </c>
      <c r="G299" s="1">
        <v>0</v>
      </c>
      <c r="H299" s="1">
        <v>0</v>
      </c>
      <c r="I299" s="1">
        <v>2</v>
      </c>
      <c r="J299" s="1" t="s">
        <v>197</v>
      </c>
      <c r="K299" s="1">
        <v>20.07</v>
      </c>
      <c r="L299" s="1">
        <v>0</v>
      </c>
      <c r="M299" s="1">
        <v>1</v>
      </c>
      <c r="N299" s="1">
        <v>1</v>
      </c>
      <c r="O299" s="1">
        <v>0</v>
      </c>
      <c r="P299" s="1">
        <v>1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1</v>
      </c>
      <c r="Z299" s="1">
        <v>2</v>
      </c>
      <c r="AA299">
        <v>1.4580000000000002</v>
      </c>
      <c r="AG299" s="1">
        <v>38.4</v>
      </c>
      <c r="AJ299">
        <v>67.12</v>
      </c>
      <c r="AK299" s="1">
        <v>44.4</v>
      </c>
      <c r="AL299" s="1">
        <v>33.4</v>
      </c>
      <c r="AM299" s="1">
        <v>10.4</v>
      </c>
      <c r="AQ299">
        <f>AL299/AM299</f>
        <v>3.2115384615384612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3</v>
      </c>
      <c r="BE299" s="1">
        <v>0</v>
      </c>
      <c r="BF299" s="1">
        <v>0</v>
      </c>
      <c r="BG299" s="1">
        <v>19</v>
      </c>
      <c r="BH299" s="1">
        <v>28747.200000000001</v>
      </c>
      <c r="BI299" s="1">
        <v>0</v>
      </c>
      <c r="BJ299" s="1">
        <v>0</v>
      </c>
    </row>
    <row r="300" spans="1:62" x14ac:dyDescent="0.3">
      <c r="A300" s="1">
        <v>1</v>
      </c>
      <c r="B300" s="1">
        <v>299</v>
      </c>
      <c r="C300" s="1" t="s">
        <v>57</v>
      </c>
      <c r="D300">
        <v>0</v>
      </c>
      <c r="E300" s="6">
        <v>43112</v>
      </c>
      <c r="F300" s="1" t="s">
        <v>93</v>
      </c>
      <c r="G300" s="1">
        <v>0</v>
      </c>
      <c r="H300" s="1">
        <v>0</v>
      </c>
      <c r="I300" s="1">
        <v>2</v>
      </c>
      <c r="J300" s="1" t="s">
        <v>197</v>
      </c>
      <c r="K300" s="1">
        <v>20.07</v>
      </c>
      <c r="L300" s="1">
        <v>0</v>
      </c>
      <c r="M300" s="1">
        <v>1</v>
      </c>
      <c r="N300" s="1">
        <v>0</v>
      </c>
      <c r="O300" s="1">
        <v>0</v>
      </c>
      <c r="P300" s="1">
        <v>1</v>
      </c>
      <c r="Q300" s="1">
        <v>0</v>
      </c>
      <c r="R300" s="1">
        <v>0</v>
      </c>
      <c r="S300" s="1">
        <v>0</v>
      </c>
      <c r="T300" s="1">
        <v>1</v>
      </c>
      <c r="U300" s="1">
        <v>0</v>
      </c>
      <c r="V300" s="1">
        <v>0</v>
      </c>
      <c r="W300" s="1">
        <v>0</v>
      </c>
      <c r="X300" s="1">
        <v>0</v>
      </c>
      <c r="Y300" s="1">
        <v>1</v>
      </c>
      <c r="Z300" s="1">
        <v>2</v>
      </c>
      <c r="AA300">
        <v>1.4580000000000002</v>
      </c>
      <c r="AG300" s="1">
        <v>38.4</v>
      </c>
      <c r="AJ300">
        <v>67.12</v>
      </c>
      <c r="AK300" s="1">
        <v>44.4</v>
      </c>
      <c r="AL300" s="1">
        <v>33.4</v>
      </c>
      <c r="AM300" s="1">
        <v>10.4</v>
      </c>
      <c r="AQ300">
        <f>AL300/AM300</f>
        <v>3.2115384615384612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2</v>
      </c>
      <c r="BE300" s="1">
        <v>1</v>
      </c>
      <c r="BF300" s="1">
        <v>0</v>
      </c>
      <c r="BG300" s="1">
        <v>18</v>
      </c>
      <c r="BH300" s="1">
        <v>28747.200000000001</v>
      </c>
      <c r="BI300" s="1">
        <v>0</v>
      </c>
      <c r="BJ300" s="1">
        <v>0</v>
      </c>
    </row>
    <row r="301" spans="1:62" x14ac:dyDescent="0.3">
      <c r="A301" s="1">
        <v>2</v>
      </c>
      <c r="B301">
        <v>300</v>
      </c>
      <c r="C301" s="1" t="s">
        <v>49</v>
      </c>
      <c r="D301">
        <v>0</v>
      </c>
      <c r="E301" s="6">
        <v>43064</v>
      </c>
      <c r="F301" s="1" t="s">
        <v>53</v>
      </c>
      <c r="G301" s="1">
        <v>0</v>
      </c>
      <c r="H301" s="1">
        <v>1</v>
      </c>
      <c r="I301" s="1">
        <v>2</v>
      </c>
      <c r="J301" s="1" t="s">
        <v>192</v>
      </c>
      <c r="K301" s="1">
        <v>31.25</v>
      </c>
      <c r="L301" s="1">
        <v>0</v>
      </c>
      <c r="M301" s="1">
        <v>1</v>
      </c>
      <c r="N301" s="1">
        <v>1</v>
      </c>
      <c r="O301" s="1">
        <v>1</v>
      </c>
      <c r="P301" s="1">
        <v>1</v>
      </c>
      <c r="Q301" s="1">
        <v>1</v>
      </c>
      <c r="R301" s="1">
        <v>1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1</v>
      </c>
      <c r="Z301" s="1">
        <v>2</v>
      </c>
      <c r="AA301">
        <v>0.87360000000000004</v>
      </c>
      <c r="AB301" s="1">
        <v>13.11</v>
      </c>
      <c r="AC301" s="1">
        <v>33</v>
      </c>
      <c r="AD301">
        <f>AB301*100/AC301</f>
        <v>39.727272727272727</v>
      </c>
      <c r="AG301" s="1">
        <v>4.6500000000000004</v>
      </c>
      <c r="AK301" s="1">
        <v>46.1</v>
      </c>
      <c r="AL301" s="1">
        <v>10.199999999999999</v>
      </c>
      <c r="AM301" s="1">
        <v>34</v>
      </c>
      <c r="AN301" s="1">
        <v>198</v>
      </c>
      <c r="AO301" s="1">
        <v>44</v>
      </c>
      <c r="AP301" s="1">
        <v>146</v>
      </c>
      <c r="AQ301">
        <f>AL301/AM301</f>
        <v>0.3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3</v>
      </c>
      <c r="BE301" s="1">
        <v>1</v>
      </c>
      <c r="BF301" s="1">
        <v>1</v>
      </c>
      <c r="BG301" s="1">
        <v>23</v>
      </c>
      <c r="BH301" s="1">
        <v>68562.880000000005</v>
      </c>
      <c r="BI301" s="1">
        <v>1</v>
      </c>
      <c r="BJ301" s="1">
        <v>1</v>
      </c>
    </row>
    <row r="302" spans="1:62" x14ac:dyDescent="0.3">
      <c r="A302" s="1">
        <v>1</v>
      </c>
      <c r="B302" s="1">
        <v>301</v>
      </c>
      <c r="C302" s="1" t="s">
        <v>54</v>
      </c>
      <c r="D302">
        <v>0</v>
      </c>
      <c r="E302" s="6">
        <v>42670</v>
      </c>
      <c r="F302" s="1" t="s">
        <v>70</v>
      </c>
      <c r="G302" s="1">
        <v>0</v>
      </c>
      <c r="H302" s="1">
        <v>1</v>
      </c>
      <c r="I302" s="1">
        <v>3</v>
      </c>
      <c r="J302" s="1" t="s">
        <v>189</v>
      </c>
      <c r="K302" s="1">
        <v>24.37</v>
      </c>
      <c r="L302" s="1">
        <v>2</v>
      </c>
      <c r="M302" s="1">
        <v>0</v>
      </c>
      <c r="N302" s="1">
        <v>1</v>
      </c>
      <c r="O302" s="1">
        <v>0</v>
      </c>
      <c r="P302" s="1">
        <v>0</v>
      </c>
      <c r="Q302" s="1">
        <v>1</v>
      </c>
      <c r="R302" s="1">
        <v>1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1</v>
      </c>
      <c r="Y302" s="1">
        <v>0</v>
      </c>
      <c r="Z302" s="1">
        <v>2</v>
      </c>
      <c r="AA302">
        <v>2.2192499999999997</v>
      </c>
      <c r="AB302" s="1">
        <v>13.68</v>
      </c>
      <c r="AC302" s="1">
        <v>33</v>
      </c>
      <c r="AD302">
        <f>AB302*100/AC302</f>
        <v>41.454545454545453</v>
      </c>
      <c r="AE302" s="1">
        <v>5</v>
      </c>
      <c r="AF302" s="1">
        <v>908</v>
      </c>
      <c r="AG302" s="1">
        <v>2.85</v>
      </c>
      <c r="AH302" s="1">
        <v>11.2</v>
      </c>
      <c r="AI302" s="1">
        <v>5</v>
      </c>
      <c r="AJ302" s="1">
        <v>20.100000000000001</v>
      </c>
      <c r="AK302" s="1">
        <v>76.7</v>
      </c>
      <c r="AL302" s="1">
        <v>31.2</v>
      </c>
      <c r="AM302" s="1">
        <v>40.799999999999997</v>
      </c>
      <c r="AN302" s="1">
        <v>650</v>
      </c>
      <c r="AO302" s="1">
        <v>219</v>
      </c>
      <c r="AP302" s="1">
        <v>361</v>
      </c>
      <c r="AQ302">
        <f>AL302/AM302</f>
        <v>0.76470588235294124</v>
      </c>
      <c r="AR302" s="1">
        <v>1</v>
      </c>
      <c r="AS302" s="1">
        <v>0</v>
      </c>
      <c r="AT302" s="1">
        <v>1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1</v>
      </c>
      <c r="BE302" s="1">
        <v>0</v>
      </c>
      <c r="BF302" s="1">
        <v>1</v>
      </c>
      <c r="BG302" s="1">
        <v>51</v>
      </c>
      <c r="BH302" s="1">
        <v>184235.6</v>
      </c>
      <c r="BI302" s="1">
        <v>1</v>
      </c>
      <c r="BJ302" s="1">
        <v>1</v>
      </c>
    </row>
    <row r="303" spans="1:62" x14ac:dyDescent="0.3">
      <c r="A303" s="1">
        <v>1</v>
      </c>
      <c r="B303">
        <v>302</v>
      </c>
      <c r="C303" s="1" t="s">
        <v>96</v>
      </c>
      <c r="D303">
        <v>0</v>
      </c>
      <c r="E303" s="6">
        <v>43126</v>
      </c>
      <c r="F303" s="1" t="s">
        <v>88</v>
      </c>
      <c r="G303" s="1">
        <v>0</v>
      </c>
      <c r="H303" s="1">
        <v>0</v>
      </c>
      <c r="I303" s="1">
        <v>2</v>
      </c>
      <c r="J303" s="1" t="s">
        <v>191</v>
      </c>
      <c r="K303" s="1">
        <v>28.38</v>
      </c>
      <c r="L303" s="1">
        <v>1</v>
      </c>
      <c r="M303" s="1">
        <v>1</v>
      </c>
      <c r="N303" s="1">
        <v>0</v>
      </c>
      <c r="O303" s="1">
        <v>0</v>
      </c>
      <c r="P303" s="1">
        <v>1</v>
      </c>
      <c r="Q303" s="1">
        <v>1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2</v>
      </c>
      <c r="AA303">
        <v>1.1687599999999998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1</v>
      </c>
      <c r="BF303" s="1">
        <v>0</v>
      </c>
      <c r="BG303" s="1">
        <v>4</v>
      </c>
      <c r="BH303" s="1">
        <v>7274.1</v>
      </c>
      <c r="BI303" s="1">
        <v>0</v>
      </c>
      <c r="BJ303" s="1">
        <v>0</v>
      </c>
    </row>
    <row r="304" spans="1:62" x14ac:dyDescent="0.3">
      <c r="A304">
        <v>1</v>
      </c>
      <c r="B304" s="1">
        <v>303</v>
      </c>
      <c r="C304" s="1" t="s">
        <v>60</v>
      </c>
      <c r="D304">
        <v>0</v>
      </c>
      <c r="E304" s="2">
        <v>43515</v>
      </c>
      <c r="F304" t="s">
        <v>61</v>
      </c>
      <c r="G304" s="1">
        <v>0</v>
      </c>
      <c r="H304">
        <v>1</v>
      </c>
      <c r="I304" s="1">
        <v>2</v>
      </c>
      <c r="J304" s="1" t="s">
        <v>195</v>
      </c>
      <c r="K304" s="1">
        <v>24.22</v>
      </c>
      <c r="L304" s="1">
        <v>2</v>
      </c>
      <c r="M304" s="1">
        <v>1</v>
      </c>
      <c r="N304" s="1">
        <v>1</v>
      </c>
      <c r="O304" s="1">
        <v>1</v>
      </c>
      <c r="P304" s="1">
        <v>0</v>
      </c>
      <c r="Q304" s="1">
        <v>1</v>
      </c>
      <c r="R304" s="1">
        <v>0</v>
      </c>
      <c r="S304" s="1">
        <v>0</v>
      </c>
      <c r="T304" s="1">
        <v>0</v>
      </c>
      <c r="U304" s="1">
        <v>1</v>
      </c>
      <c r="V304" s="1">
        <v>0</v>
      </c>
      <c r="W304" s="1">
        <v>0</v>
      </c>
      <c r="X304" s="1">
        <v>0</v>
      </c>
      <c r="Y304" s="1">
        <v>0</v>
      </c>
      <c r="Z304" s="1">
        <v>2</v>
      </c>
      <c r="AA304" s="1">
        <v>1.63</v>
      </c>
      <c r="AB304" s="1">
        <v>13.05</v>
      </c>
      <c r="AC304" s="1">
        <v>33</v>
      </c>
      <c r="AD304">
        <f>AB304*100/AC304</f>
        <v>39.545454545454547</v>
      </c>
      <c r="AK304">
        <v>61.5</v>
      </c>
      <c r="AL304">
        <v>43</v>
      </c>
      <c r="AM304">
        <v>16.5</v>
      </c>
      <c r="AQ304">
        <f>AL304/AM304</f>
        <v>2.606060606060606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3</v>
      </c>
      <c r="BE304" s="1">
        <v>1</v>
      </c>
      <c r="BF304" s="1">
        <v>1</v>
      </c>
      <c r="BG304" s="1">
        <v>35</v>
      </c>
      <c r="BH304">
        <f>31297.59+181.34+27013+5108+210+10791+120+2824+3511+1739+1475+714.79</f>
        <v>84984.719999999987</v>
      </c>
      <c r="BI304" s="1">
        <v>0</v>
      </c>
      <c r="BJ304" s="1">
        <v>1</v>
      </c>
    </row>
    <row r="305" spans="1:62" x14ac:dyDescent="0.3">
      <c r="A305" s="1">
        <v>1</v>
      </c>
      <c r="B305" s="1">
        <v>304</v>
      </c>
      <c r="C305" s="1" t="s">
        <v>107</v>
      </c>
      <c r="D305">
        <v>1</v>
      </c>
      <c r="E305" s="6">
        <v>43168</v>
      </c>
      <c r="F305" s="1" t="s">
        <v>85</v>
      </c>
      <c r="G305" s="1">
        <v>0</v>
      </c>
      <c r="H305" s="1">
        <v>0</v>
      </c>
      <c r="I305" s="1">
        <v>3</v>
      </c>
      <c r="J305" s="1" t="s">
        <v>188</v>
      </c>
      <c r="K305" s="1">
        <v>25.86</v>
      </c>
      <c r="L305" s="1">
        <v>0</v>
      </c>
      <c r="M305" s="1">
        <v>0</v>
      </c>
      <c r="N305" s="1">
        <v>1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1</v>
      </c>
      <c r="Y305" s="1">
        <v>0</v>
      </c>
      <c r="Z305" s="1">
        <v>2</v>
      </c>
      <c r="AA305">
        <v>0.98023000000000016</v>
      </c>
      <c r="AK305" s="1">
        <v>85.9</v>
      </c>
      <c r="AL305" s="1">
        <v>33.4</v>
      </c>
      <c r="AM305" s="1">
        <v>49.4</v>
      </c>
      <c r="AN305" s="1">
        <v>1254</v>
      </c>
      <c r="AO305" s="1">
        <v>488</v>
      </c>
      <c r="AP305" s="1">
        <v>721</v>
      </c>
      <c r="AQ305">
        <f>AL305/AM305</f>
        <v>0.67611336032388658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11</v>
      </c>
      <c r="BH305" s="1">
        <v>29078.66</v>
      </c>
      <c r="BI305" s="1">
        <v>1</v>
      </c>
      <c r="BJ305" s="1">
        <v>1</v>
      </c>
    </row>
    <row r="306" spans="1:62" x14ac:dyDescent="0.3">
      <c r="A306" s="1">
        <v>1</v>
      </c>
      <c r="B306">
        <v>305</v>
      </c>
      <c r="C306" s="1" t="s">
        <v>54</v>
      </c>
      <c r="D306">
        <v>0</v>
      </c>
      <c r="E306" s="6">
        <v>43046</v>
      </c>
      <c r="F306" s="1" t="s">
        <v>85</v>
      </c>
      <c r="G306" s="1">
        <v>0</v>
      </c>
      <c r="H306" s="1">
        <v>0</v>
      </c>
      <c r="I306" s="1">
        <v>2</v>
      </c>
      <c r="J306" s="1" t="s">
        <v>190</v>
      </c>
      <c r="K306" s="1">
        <v>31.12</v>
      </c>
      <c r="L306" s="1">
        <v>0</v>
      </c>
      <c r="M306" s="1">
        <v>1</v>
      </c>
      <c r="N306" s="1">
        <v>0</v>
      </c>
      <c r="O306" s="1">
        <v>0</v>
      </c>
      <c r="P306" s="1">
        <v>0</v>
      </c>
      <c r="Q306" s="1">
        <v>0</v>
      </c>
      <c r="R306" s="1">
        <v>1</v>
      </c>
      <c r="S306" s="1">
        <v>1</v>
      </c>
      <c r="T306" s="1">
        <v>0</v>
      </c>
      <c r="U306" s="1">
        <v>0</v>
      </c>
      <c r="V306" s="1">
        <v>0</v>
      </c>
      <c r="W306" s="1">
        <v>0</v>
      </c>
      <c r="X306" s="1">
        <v>1</v>
      </c>
      <c r="Y306" s="1">
        <v>0</v>
      </c>
      <c r="Z306" s="1">
        <v>1</v>
      </c>
      <c r="AA306">
        <v>1.4880000000000002</v>
      </c>
      <c r="AN306" s="1">
        <v>1306</v>
      </c>
      <c r="AO306" s="1">
        <v>963</v>
      </c>
      <c r="AP306" s="1">
        <v>339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1</v>
      </c>
      <c r="BE306" s="1">
        <v>0</v>
      </c>
      <c r="BF306" s="1">
        <v>0</v>
      </c>
      <c r="BG306" s="1">
        <v>8</v>
      </c>
      <c r="BH306" s="1">
        <v>29137.46</v>
      </c>
      <c r="BI306" s="1">
        <v>0</v>
      </c>
      <c r="BJ306" s="1">
        <v>0</v>
      </c>
    </row>
    <row r="307" spans="1:62" x14ac:dyDescent="0.3">
      <c r="A307" s="1">
        <v>1</v>
      </c>
      <c r="B307" s="1">
        <v>306</v>
      </c>
      <c r="C307" s="1" t="s">
        <v>57</v>
      </c>
      <c r="D307">
        <v>0</v>
      </c>
      <c r="E307" s="6">
        <v>43153</v>
      </c>
      <c r="F307" s="1" t="s">
        <v>121</v>
      </c>
      <c r="G307" s="1">
        <v>0</v>
      </c>
      <c r="H307" s="1">
        <v>0</v>
      </c>
      <c r="I307" s="1">
        <v>2</v>
      </c>
      <c r="J307" s="1" t="s">
        <v>193</v>
      </c>
      <c r="K307" s="1">
        <v>25.1</v>
      </c>
      <c r="L307" s="1">
        <v>0</v>
      </c>
      <c r="M307" s="1">
        <v>1</v>
      </c>
      <c r="N307" s="1">
        <v>1</v>
      </c>
      <c r="O307" s="1">
        <v>0</v>
      </c>
      <c r="P307" s="1">
        <v>1</v>
      </c>
      <c r="Q307" s="1">
        <v>1</v>
      </c>
      <c r="R307" s="1">
        <v>1</v>
      </c>
      <c r="S307" s="1">
        <v>0</v>
      </c>
      <c r="T307" s="1">
        <v>0</v>
      </c>
      <c r="U307" s="1">
        <v>0</v>
      </c>
      <c r="V307" s="1">
        <v>1</v>
      </c>
      <c r="W307" s="1">
        <v>1</v>
      </c>
      <c r="X307" s="1">
        <v>0</v>
      </c>
      <c r="Y307" s="1">
        <v>0</v>
      </c>
      <c r="Z307" s="1">
        <v>2</v>
      </c>
      <c r="AA307">
        <v>1.9832199999999998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 s="1">
        <v>1</v>
      </c>
      <c r="BE307" s="1">
        <v>0</v>
      </c>
      <c r="BF307" s="1">
        <v>0</v>
      </c>
      <c r="BG307" s="1">
        <v>8</v>
      </c>
      <c r="BH307" s="1">
        <v>3865.04</v>
      </c>
      <c r="BI307" s="1">
        <v>0</v>
      </c>
      <c r="BJ307" s="1">
        <v>0</v>
      </c>
    </row>
    <row r="308" spans="1:62" x14ac:dyDescent="0.3">
      <c r="A308">
        <v>1</v>
      </c>
      <c r="B308">
        <v>307</v>
      </c>
      <c r="C308" t="s">
        <v>60</v>
      </c>
      <c r="D308">
        <v>0</v>
      </c>
      <c r="E308" s="2" t="s">
        <v>152</v>
      </c>
      <c r="F308" s="4" t="s">
        <v>121</v>
      </c>
      <c r="G308" s="1">
        <v>0</v>
      </c>
      <c r="H308" s="1">
        <v>0</v>
      </c>
      <c r="I308" s="1">
        <v>2</v>
      </c>
      <c r="J308" s="1" t="s">
        <v>193</v>
      </c>
      <c r="K308" s="1">
        <v>21.09</v>
      </c>
      <c r="L308" s="1">
        <v>2</v>
      </c>
      <c r="M308" s="1">
        <v>1</v>
      </c>
      <c r="N308" s="1">
        <v>1</v>
      </c>
      <c r="O308" s="1">
        <v>1</v>
      </c>
      <c r="P308" s="1">
        <v>0</v>
      </c>
      <c r="Q308" s="1">
        <v>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1</v>
      </c>
      <c r="Z308" s="1">
        <v>1</v>
      </c>
      <c r="AA308" s="1">
        <v>0.52</v>
      </c>
      <c r="AB308" s="1">
        <v>17.350000000000001</v>
      </c>
      <c r="AC308" s="1">
        <v>41</v>
      </c>
      <c r="AD308">
        <f>AB308*100/AC308</f>
        <v>42.31707317073171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1</v>
      </c>
      <c r="BE308" s="1">
        <v>0</v>
      </c>
      <c r="BF308" s="1">
        <v>0</v>
      </c>
      <c r="BG308" s="1">
        <v>14</v>
      </c>
      <c r="BH308">
        <f>13427.11+1433.68+6412+787+600+738+1450+609+725+173.67</f>
        <v>26355.46</v>
      </c>
      <c r="BI308" s="1">
        <v>1</v>
      </c>
      <c r="BJ308" s="1">
        <v>0</v>
      </c>
    </row>
    <row r="309" spans="1:62" x14ac:dyDescent="0.3">
      <c r="A309">
        <v>1</v>
      </c>
      <c r="B309" s="1">
        <v>308</v>
      </c>
      <c r="C309" s="1" t="s">
        <v>60</v>
      </c>
      <c r="D309">
        <v>0</v>
      </c>
      <c r="E309" s="2">
        <v>43473</v>
      </c>
      <c r="F309" t="s">
        <v>64</v>
      </c>
      <c r="G309" s="1">
        <v>0</v>
      </c>
      <c r="H309" s="1">
        <v>1</v>
      </c>
      <c r="I309" s="1">
        <v>3</v>
      </c>
      <c r="J309" s="1" t="s">
        <v>187</v>
      </c>
      <c r="K309" s="1">
        <v>24.46</v>
      </c>
      <c r="L309" s="1">
        <v>2</v>
      </c>
      <c r="M309" s="1">
        <v>1</v>
      </c>
      <c r="N309" s="1">
        <v>1</v>
      </c>
      <c r="O309" s="1">
        <v>1</v>
      </c>
      <c r="P309" s="1">
        <v>1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2</v>
      </c>
      <c r="AA309" s="1">
        <v>1.1100000000000001</v>
      </c>
      <c r="AB309" s="1">
        <v>9.44</v>
      </c>
      <c r="AC309" s="1">
        <v>33</v>
      </c>
      <c r="AD309">
        <f>AB309*100/AC309</f>
        <v>28.606060606060606</v>
      </c>
      <c r="AE309" s="1">
        <v>5</v>
      </c>
      <c r="AF309" s="1">
        <v>787</v>
      </c>
      <c r="AG309" s="1">
        <v>8.92</v>
      </c>
      <c r="AH309" s="1">
        <v>5</v>
      </c>
      <c r="AI309" s="1">
        <v>5</v>
      </c>
      <c r="AJ309" s="1">
        <v>10.199999999999999</v>
      </c>
      <c r="AK309" s="1">
        <v>56.8</v>
      </c>
      <c r="AL309" s="1">
        <v>34</v>
      </c>
      <c r="AM309" s="1">
        <v>19.8</v>
      </c>
      <c r="AN309" s="1">
        <v>2124</v>
      </c>
      <c r="AO309" s="1">
        <v>1272</v>
      </c>
      <c r="AP309" s="1">
        <v>741</v>
      </c>
      <c r="AQ309">
        <f>AL309/AM309</f>
        <v>1.7171717171717171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 s="1">
        <v>0</v>
      </c>
      <c r="BF309" s="1">
        <v>1</v>
      </c>
      <c r="BG309" s="1">
        <v>19</v>
      </c>
      <c r="BH309">
        <f>7161.52+28.95+94.98+11028+2159+210+2889+1200+12.5+3338+852+550+236.25</f>
        <v>29760.2</v>
      </c>
      <c r="BI309" s="1">
        <v>1</v>
      </c>
      <c r="BJ309" s="1">
        <v>1</v>
      </c>
    </row>
    <row r="310" spans="1:62" x14ac:dyDescent="0.3">
      <c r="A310" s="1">
        <v>1</v>
      </c>
      <c r="B310" s="1">
        <v>309</v>
      </c>
      <c r="C310" s="1" t="s">
        <v>62</v>
      </c>
      <c r="D310">
        <v>0</v>
      </c>
      <c r="E310" s="6">
        <v>42377</v>
      </c>
      <c r="F310" s="1" t="s">
        <v>66</v>
      </c>
      <c r="G310" s="1">
        <v>1</v>
      </c>
      <c r="H310" s="1">
        <v>1</v>
      </c>
      <c r="I310" s="1">
        <v>1</v>
      </c>
      <c r="J310" s="1" t="s">
        <v>182</v>
      </c>
      <c r="K310" s="1">
        <v>24.97</v>
      </c>
      <c r="L310" s="1">
        <v>1</v>
      </c>
      <c r="M310" s="1">
        <v>1</v>
      </c>
      <c r="N310" s="1">
        <v>0</v>
      </c>
      <c r="O310" s="1">
        <v>1</v>
      </c>
      <c r="P310" s="1">
        <v>1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1</v>
      </c>
      <c r="Z310" s="1">
        <v>2</v>
      </c>
      <c r="AA310">
        <v>2.36802</v>
      </c>
      <c r="AE310" s="1">
        <v>46</v>
      </c>
      <c r="AF310" s="1">
        <v>1578</v>
      </c>
      <c r="AG310" s="1">
        <v>61.6</v>
      </c>
      <c r="AH310" s="1">
        <v>873</v>
      </c>
      <c r="AI310" s="1">
        <v>19.100000000000001</v>
      </c>
      <c r="AJ310" s="1">
        <v>52.3</v>
      </c>
      <c r="AK310" s="1">
        <v>54.4</v>
      </c>
      <c r="AL310" s="1">
        <v>19.100000000000001</v>
      </c>
      <c r="AM310" s="1">
        <v>31.1</v>
      </c>
      <c r="AN310" s="1">
        <v>1290</v>
      </c>
      <c r="AO310" s="1">
        <v>452</v>
      </c>
      <c r="AP310" s="1">
        <v>737</v>
      </c>
      <c r="AQ310">
        <f>AL310/AM310</f>
        <v>0.61414790996784563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>
        <v>0</v>
      </c>
      <c r="BB310">
        <v>0</v>
      </c>
      <c r="BC310">
        <v>0</v>
      </c>
      <c r="BD310" s="1">
        <v>3</v>
      </c>
      <c r="BE310" s="1">
        <v>1</v>
      </c>
      <c r="BF310" s="1">
        <v>0</v>
      </c>
      <c r="BG310" s="1">
        <v>3</v>
      </c>
      <c r="BH310" s="1">
        <v>30086.73</v>
      </c>
      <c r="BI310" s="1">
        <v>0</v>
      </c>
      <c r="BJ310" s="1">
        <v>1</v>
      </c>
    </row>
    <row r="311" spans="1:62" x14ac:dyDescent="0.3">
      <c r="A311" s="1">
        <v>1</v>
      </c>
      <c r="B311">
        <v>310</v>
      </c>
      <c r="C311" s="1" t="s">
        <v>54</v>
      </c>
      <c r="D311">
        <v>0</v>
      </c>
      <c r="E311" s="6">
        <v>43200</v>
      </c>
      <c r="F311" s="1" t="s">
        <v>56</v>
      </c>
      <c r="G311" s="1">
        <v>0</v>
      </c>
      <c r="H311" s="1">
        <v>0</v>
      </c>
      <c r="I311" s="1">
        <v>1</v>
      </c>
      <c r="J311" s="1" t="s">
        <v>192</v>
      </c>
      <c r="K311" s="1">
        <v>19.100000000000001</v>
      </c>
      <c r="L311" s="1">
        <v>0</v>
      </c>
      <c r="M311" s="1">
        <v>0</v>
      </c>
      <c r="N311" s="1">
        <v>1</v>
      </c>
      <c r="O311" s="1">
        <v>0</v>
      </c>
      <c r="P311" s="1">
        <v>1</v>
      </c>
      <c r="Q311" s="1">
        <v>0</v>
      </c>
      <c r="R311" s="1">
        <v>1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2</v>
      </c>
      <c r="AA311">
        <v>2.4419999999999997</v>
      </c>
      <c r="AR311" s="1">
        <v>1</v>
      </c>
      <c r="AS311" s="1">
        <v>0</v>
      </c>
      <c r="AT311" s="1">
        <v>1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1</v>
      </c>
      <c r="BA311" s="1">
        <v>0</v>
      </c>
      <c r="BB311" s="1">
        <v>0</v>
      </c>
      <c r="BC311" s="1">
        <v>0</v>
      </c>
      <c r="BD311" s="1">
        <v>1</v>
      </c>
      <c r="BE311" s="1">
        <v>0</v>
      </c>
      <c r="BF311" s="1">
        <v>0</v>
      </c>
      <c r="BG311" s="1">
        <v>17</v>
      </c>
      <c r="BH311" s="1">
        <v>30121.8</v>
      </c>
      <c r="BI311" s="1">
        <v>0</v>
      </c>
      <c r="BJ311" s="1">
        <v>0</v>
      </c>
    </row>
    <row r="312" spans="1:62" x14ac:dyDescent="0.3">
      <c r="A312" s="1">
        <v>1</v>
      </c>
      <c r="B312" s="1">
        <v>311</v>
      </c>
      <c r="C312" s="1" t="s">
        <v>77</v>
      </c>
      <c r="D312">
        <v>0</v>
      </c>
      <c r="E312" s="6">
        <v>43257</v>
      </c>
      <c r="F312" s="1" t="s">
        <v>85</v>
      </c>
      <c r="G312" s="1">
        <v>0</v>
      </c>
      <c r="H312" s="1">
        <v>0</v>
      </c>
      <c r="I312" s="1">
        <v>3</v>
      </c>
      <c r="J312" s="1" t="s">
        <v>187</v>
      </c>
      <c r="K312" s="1">
        <v>25.01</v>
      </c>
      <c r="L312" s="1">
        <v>0</v>
      </c>
      <c r="M312" s="1">
        <v>0</v>
      </c>
      <c r="N312" s="1">
        <v>1</v>
      </c>
      <c r="O312" s="1">
        <v>0</v>
      </c>
      <c r="P312" s="1">
        <v>0</v>
      </c>
      <c r="Q312" s="1">
        <v>1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1</v>
      </c>
      <c r="AA312">
        <v>2.7136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10</v>
      </c>
      <c r="BH312" s="1">
        <v>11036.56</v>
      </c>
      <c r="BI312" s="1">
        <v>0</v>
      </c>
      <c r="BJ312" s="1">
        <v>0</v>
      </c>
    </row>
    <row r="313" spans="1:62" x14ac:dyDescent="0.3">
      <c r="A313" s="1">
        <v>1</v>
      </c>
      <c r="B313">
        <v>312</v>
      </c>
      <c r="C313" s="1" t="s">
        <v>54</v>
      </c>
      <c r="D313">
        <v>0</v>
      </c>
      <c r="E313" s="6">
        <v>43045</v>
      </c>
      <c r="F313" s="1" t="s">
        <v>85</v>
      </c>
      <c r="G313" s="1">
        <v>0</v>
      </c>
      <c r="H313" s="1">
        <v>0</v>
      </c>
      <c r="I313" s="1">
        <v>1</v>
      </c>
      <c r="J313" s="1" t="s">
        <v>187</v>
      </c>
      <c r="K313" s="1">
        <v>24.22</v>
      </c>
      <c r="L313" s="1">
        <v>1</v>
      </c>
      <c r="M313" s="1">
        <v>0</v>
      </c>
      <c r="N313" s="1">
        <v>1</v>
      </c>
      <c r="O313" s="1">
        <v>0</v>
      </c>
      <c r="P313" s="1">
        <v>0</v>
      </c>
      <c r="Q313" s="1">
        <v>1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1</v>
      </c>
      <c r="Y313" s="1">
        <v>0</v>
      </c>
      <c r="Z313" s="1">
        <v>1</v>
      </c>
      <c r="AA313">
        <v>4.0034999999999998</v>
      </c>
      <c r="AN313" s="1">
        <v>3668</v>
      </c>
      <c r="AO313" s="1">
        <v>257.2</v>
      </c>
      <c r="AP313" s="1">
        <v>107.2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4</v>
      </c>
      <c r="BH313" s="1">
        <v>8329.25</v>
      </c>
      <c r="BI313" s="1">
        <v>0</v>
      </c>
      <c r="BJ313" s="1">
        <v>0</v>
      </c>
    </row>
    <row r="314" spans="1:62" x14ac:dyDescent="0.3">
      <c r="A314" s="1">
        <v>1</v>
      </c>
      <c r="B314" s="1">
        <v>313</v>
      </c>
      <c r="C314" s="1" t="s">
        <v>51</v>
      </c>
      <c r="D314">
        <v>0</v>
      </c>
      <c r="E314" s="6">
        <v>42342</v>
      </c>
      <c r="F314" s="1" t="s">
        <v>52</v>
      </c>
      <c r="G314" s="1">
        <v>0</v>
      </c>
      <c r="H314" s="1">
        <v>1</v>
      </c>
      <c r="I314" s="1">
        <v>3</v>
      </c>
      <c r="J314" s="1" t="s">
        <v>183</v>
      </c>
      <c r="K314" s="1">
        <v>16.850000000000001</v>
      </c>
      <c r="L314" s="1">
        <v>0</v>
      </c>
      <c r="M314" s="1">
        <v>1</v>
      </c>
      <c r="N314" s="1">
        <v>1</v>
      </c>
      <c r="O314" s="1">
        <v>0</v>
      </c>
      <c r="P314" s="1">
        <v>1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2</v>
      </c>
      <c r="AA314">
        <v>1.75518</v>
      </c>
      <c r="AB314" s="1">
        <v>22.95</v>
      </c>
      <c r="AC314" s="1">
        <v>53</v>
      </c>
      <c r="AD314">
        <f>AB314*100/AC314</f>
        <v>43.301886792452834</v>
      </c>
      <c r="AK314" s="1">
        <v>71.400000000000006</v>
      </c>
      <c r="AL314" s="1">
        <v>33.1</v>
      </c>
      <c r="AM314" s="1">
        <v>33.299999999999997</v>
      </c>
      <c r="AN314" s="1">
        <v>1257</v>
      </c>
      <c r="AO314" s="1">
        <v>582</v>
      </c>
      <c r="AP314" s="1">
        <v>586</v>
      </c>
      <c r="AQ314">
        <f>AL314/AM314</f>
        <v>0.99399399399399413</v>
      </c>
      <c r="AR314" s="1">
        <v>1</v>
      </c>
      <c r="AS314" s="1">
        <v>0</v>
      </c>
      <c r="AT314" s="1">
        <v>1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1</v>
      </c>
      <c r="BE314" s="1">
        <v>0</v>
      </c>
      <c r="BF314" s="1">
        <v>0</v>
      </c>
      <c r="BG314" s="1">
        <v>21</v>
      </c>
      <c r="BH314" s="1">
        <v>30328.42</v>
      </c>
      <c r="BI314" s="1">
        <v>0</v>
      </c>
      <c r="BJ314" s="1">
        <v>1</v>
      </c>
    </row>
    <row r="315" spans="1:62" x14ac:dyDescent="0.3">
      <c r="A315" s="1">
        <v>1</v>
      </c>
      <c r="B315" s="1">
        <v>314</v>
      </c>
      <c r="C315" s="1" t="s">
        <v>100</v>
      </c>
      <c r="D315">
        <v>0</v>
      </c>
      <c r="E315" s="6">
        <v>43138</v>
      </c>
      <c r="F315" s="1" t="s">
        <v>85</v>
      </c>
      <c r="G315" s="1">
        <v>0</v>
      </c>
      <c r="H315" s="1">
        <v>0</v>
      </c>
      <c r="I315" s="1">
        <v>2</v>
      </c>
      <c r="J315" s="1" t="s">
        <v>191</v>
      </c>
      <c r="K315" s="1">
        <v>31.3</v>
      </c>
      <c r="L315" s="1">
        <v>2</v>
      </c>
      <c r="M315" s="1">
        <v>0</v>
      </c>
      <c r="N315" s="1">
        <v>1</v>
      </c>
      <c r="O315" s="1">
        <v>0</v>
      </c>
      <c r="P315" s="1">
        <v>0</v>
      </c>
      <c r="Q315" s="1">
        <v>1</v>
      </c>
      <c r="R315" s="1">
        <v>1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1</v>
      </c>
      <c r="Y315" s="1">
        <v>0</v>
      </c>
      <c r="Z315" s="1">
        <v>1</v>
      </c>
      <c r="AA315">
        <v>1.4938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4</v>
      </c>
      <c r="BH315" s="1">
        <v>9974.9</v>
      </c>
      <c r="BI315" s="1">
        <v>1</v>
      </c>
      <c r="BJ315" s="1">
        <v>0</v>
      </c>
    </row>
    <row r="316" spans="1:62" x14ac:dyDescent="0.3">
      <c r="A316" s="1">
        <v>1</v>
      </c>
      <c r="B316">
        <v>315</v>
      </c>
      <c r="C316" s="1" t="s">
        <v>83</v>
      </c>
      <c r="D316">
        <v>1</v>
      </c>
      <c r="E316" s="6">
        <v>42774</v>
      </c>
      <c r="F316" s="1" t="s">
        <v>56</v>
      </c>
      <c r="G316" s="1">
        <v>0</v>
      </c>
      <c r="H316" s="1">
        <v>0</v>
      </c>
      <c r="I316" s="1">
        <v>2</v>
      </c>
      <c r="J316" s="1" t="s">
        <v>196</v>
      </c>
      <c r="K316" s="1">
        <v>21.97</v>
      </c>
      <c r="L316" s="1">
        <v>0</v>
      </c>
      <c r="M316" s="1">
        <v>1</v>
      </c>
      <c r="N316" s="1">
        <v>1</v>
      </c>
      <c r="O316" s="1">
        <v>0</v>
      </c>
      <c r="P316" s="1">
        <v>1</v>
      </c>
      <c r="Q316" s="1">
        <v>1</v>
      </c>
      <c r="R316" s="1">
        <v>0</v>
      </c>
      <c r="S316" s="1">
        <v>0</v>
      </c>
      <c r="T316" s="1">
        <v>0</v>
      </c>
      <c r="U316" s="1">
        <v>1</v>
      </c>
      <c r="V316" s="1">
        <v>1</v>
      </c>
      <c r="W316" s="1">
        <v>0</v>
      </c>
      <c r="X316" s="1">
        <v>0</v>
      </c>
      <c r="Y316" s="1">
        <v>0</v>
      </c>
      <c r="Z316" s="1">
        <v>2</v>
      </c>
      <c r="AA316">
        <v>0.49115000000000003</v>
      </c>
      <c r="AB316" s="1">
        <v>9.64</v>
      </c>
      <c r="AC316" s="1">
        <v>21</v>
      </c>
      <c r="AD316">
        <f t="shared" ref="AD316:AD322" si="6">AB316*100/AC316</f>
        <v>45.904761904761905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1</v>
      </c>
      <c r="BE316" s="1">
        <v>0</v>
      </c>
      <c r="BF316" s="1">
        <v>0</v>
      </c>
      <c r="BG316" s="1">
        <v>12</v>
      </c>
      <c r="BH316" s="1">
        <v>14888.78</v>
      </c>
      <c r="BI316" s="1">
        <v>0</v>
      </c>
      <c r="BJ316" s="1">
        <v>1</v>
      </c>
    </row>
    <row r="317" spans="1:62" x14ac:dyDescent="0.3">
      <c r="A317">
        <v>1</v>
      </c>
      <c r="B317" s="1">
        <v>316</v>
      </c>
      <c r="C317" s="1" t="s">
        <v>60</v>
      </c>
      <c r="D317">
        <v>0</v>
      </c>
      <c r="E317" s="2">
        <v>43513</v>
      </c>
      <c r="F317" t="s">
        <v>88</v>
      </c>
      <c r="G317" s="1">
        <v>0</v>
      </c>
      <c r="H317" s="1">
        <v>0</v>
      </c>
      <c r="I317" s="1">
        <v>2</v>
      </c>
      <c r="J317" s="1" t="s">
        <v>197</v>
      </c>
      <c r="K317" s="1">
        <v>23.53</v>
      </c>
      <c r="L317" s="1">
        <v>0</v>
      </c>
      <c r="M317" s="1">
        <v>1</v>
      </c>
      <c r="N317" s="1">
        <v>0</v>
      </c>
      <c r="O317" s="1">
        <v>0</v>
      </c>
      <c r="P317" s="1">
        <v>1</v>
      </c>
      <c r="Q317" s="1">
        <v>0</v>
      </c>
      <c r="R317" s="1">
        <v>1</v>
      </c>
      <c r="S317" s="1">
        <v>0</v>
      </c>
      <c r="T317" s="1">
        <v>0</v>
      </c>
      <c r="U317" s="1">
        <v>1</v>
      </c>
      <c r="V317" s="1">
        <v>1</v>
      </c>
      <c r="W317" s="1">
        <v>0</v>
      </c>
      <c r="X317" s="1">
        <v>0</v>
      </c>
      <c r="Y317" s="1">
        <v>0</v>
      </c>
      <c r="Z317" s="1">
        <v>2</v>
      </c>
      <c r="AA317" s="1">
        <v>1.53</v>
      </c>
      <c r="AB317" s="1">
        <v>8.51</v>
      </c>
      <c r="AC317" s="1">
        <v>21</v>
      </c>
      <c r="AD317">
        <f t="shared" si="6"/>
        <v>40.523809523809526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1</v>
      </c>
      <c r="BE317" s="1">
        <v>0</v>
      </c>
      <c r="BF317" s="1">
        <v>0</v>
      </c>
      <c r="BG317" s="1">
        <v>21</v>
      </c>
      <c r="BH317">
        <f>8451.36+692.57+12967+4424+210+274+2050+861+1025+63</f>
        <v>31017.93</v>
      </c>
      <c r="BI317" s="1">
        <v>1</v>
      </c>
      <c r="BJ317" s="1">
        <v>0</v>
      </c>
    </row>
    <row r="318" spans="1:62" x14ac:dyDescent="0.3">
      <c r="A318" s="1">
        <v>1</v>
      </c>
      <c r="B318">
        <v>317</v>
      </c>
      <c r="C318" s="1" t="s">
        <v>74</v>
      </c>
      <c r="D318">
        <v>0</v>
      </c>
      <c r="E318" s="6">
        <v>42507</v>
      </c>
      <c r="F318" s="1" t="s">
        <v>53</v>
      </c>
      <c r="G318" s="1">
        <v>0</v>
      </c>
      <c r="H318" s="1">
        <v>0</v>
      </c>
      <c r="I318" s="1">
        <v>2</v>
      </c>
      <c r="J318" s="1" t="s">
        <v>196</v>
      </c>
      <c r="K318" s="1">
        <v>29.33</v>
      </c>
      <c r="L318" s="1">
        <v>0</v>
      </c>
      <c r="M318" s="1">
        <v>1</v>
      </c>
      <c r="N318" s="1">
        <v>1</v>
      </c>
      <c r="O318" s="1">
        <v>1</v>
      </c>
      <c r="P318" s="1">
        <v>0</v>
      </c>
      <c r="Q318" s="1">
        <v>1</v>
      </c>
      <c r="R318" s="1">
        <v>0</v>
      </c>
      <c r="S318" s="1">
        <v>0</v>
      </c>
      <c r="T318" s="1">
        <v>1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2</v>
      </c>
      <c r="AA318">
        <v>0.68019999999999992</v>
      </c>
      <c r="AB318" s="1">
        <v>21.05</v>
      </c>
      <c r="AC318" s="1">
        <v>33</v>
      </c>
      <c r="AD318">
        <f t="shared" si="6"/>
        <v>63.787878787878789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2</v>
      </c>
      <c r="BE318" s="1">
        <v>0</v>
      </c>
      <c r="BF318" s="1">
        <v>1</v>
      </c>
      <c r="BG318" s="1">
        <v>7</v>
      </c>
      <c r="BH318" s="1">
        <v>11065.15</v>
      </c>
      <c r="BI318" s="1">
        <v>0</v>
      </c>
      <c r="BJ318" s="1">
        <v>1</v>
      </c>
    </row>
    <row r="319" spans="1:62" x14ac:dyDescent="0.3">
      <c r="A319" s="1">
        <v>1</v>
      </c>
      <c r="B319" s="1">
        <v>318</v>
      </c>
      <c r="C319" s="1" t="s">
        <v>65</v>
      </c>
      <c r="D319">
        <v>1</v>
      </c>
      <c r="E319" s="6">
        <v>42366</v>
      </c>
      <c r="F319" s="1" t="s">
        <v>53</v>
      </c>
      <c r="G319" s="1">
        <v>0</v>
      </c>
      <c r="H319" s="1">
        <v>0</v>
      </c>
      <c r="I319" s="1">
        <v>1</v>
      </c>
      <c r="J319" s="1" t="s">
        <v>183</v>
      </c>
      <c r="K319" s="1">
        <v>65.739999999999995</v>
      </c>
      <c r="L319" s="1">
        <v>0</v>
      </c>
      <c r="M319" s="1">
        <v>1</v>
      </c>
      <c r="N319" s="1">
        <v>0</v>
      </c>
      <c r="O319" s="1">
        <v>1</v>
      </c>
      <c r="P319" s="1">
        <v>1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2</v>
      </c>
      <c r="AA319">
        <v>2.1983000000000001</v>
      </c>
      <c r="AB319" s="1">
        <v>9.83</v>
      </c>
      <c r="AC319" s="1">
        <v>60</v>
      </c>
      <c r="AD319">
        <f t="shared" si="6"/>
        <v>16.383333333333333</v>
      </c>
      <c r="AK319" s="1">
        <v>64.3</v>
      </c>
      <c r="AL319" s="1">
        <v>40.6</v>
      </c>
      <c r="AM319" s="1">
        <v>17.899999999999999</v>
      </c>
      <c r="AN319" s="1">
        <v>836</v>
      </c>
      <c r="AO319" s="1">
        <v>527</v>
      </c>
      <c r="AP319" s="1">
        <v>233</v>
      </c>
      <c r="AQ319">
        <f>AL319/AM319</f>
        <v>2.2681564245810057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2</v>
      </c>
      <c r="BE319" s="1">
        <v>3</v>
      </c>
      <c r="BF319" s="1">
        <v>1</v>
      </c>
      <c r="BG319" s="1">
        <v>16</v>
      </c>
      <c r="BH319" s="1">
        <v>31348.16</v>
      </c>
      <c r="BI319" s="1">
        <v>1</v>
      </c>
      <c r="BJ319" s="1">
        <v>0</v>
      </c>
    </row>
    <row r="320" spans="1:62" x14ac:dyDescent="0.3">
      <c r="A320" s="1">
        <v>1</v>
      </c>
      <c r="B320" s="1">
        <v>319</v>
      </c>
      <c r="C320" s="1" t="s">
        <v>60</v>
      </c>
      <c r="D320">
        <v>0</v>
      </c>
      <c r="E320" s="6">
        <v>43136</v>
      </c>
      <c r="F320" s="1" t="s">
        <v>121</v>
      </c>
      <c r="G320" s="1">
        <v>0</v>
      </c>
      <c r="H320" s="1">
        <v>0</v>
      </c>
      <c r="I320" s="1">
        <v>2</v>
      </c>
      <c r="J320" s="1" t="s">
        <v>196</v>
      </c>
      <c r="K320" s="1">
        <v>18.59</v>
      </c>
      <c r="L320" s="1">
        <v>0</v>
      </c>
      <c r="M320" s="1">
        <v>1</v>
      </c>
      <c r="N320" s="1">
        <v>1</v>
      </c>
      <c r="O320" s="1">
        <v>0</v>
      </c>
      <c r="P320" s="1">
        <v>1</v>
      </c>
      <c r="Q320" s="1">
        <v>1</v>
      </c>
      <c r="R320" s="1">
        <v>1</v>
      </c>
      <c r="S320" s="1">
        <v>0</v>
      </c>
      <c r="T320" s="1">
        <v>0</v>
      </c>
      <c r="U320" s="1">
        <v>0</v>
      </c>
      <c r="V320" s="1">
        <v>1</v>
      </c>
      <c r="W320" s="1">
        <v>0</v>
      </c>
      <c r="X320" s="1">
        <v>0</v>
      </c>
      <c r="Y320" s="1">
        <v>0</v>
      </c>
      <c r="Z320" s="1">
        <v>2</v>
      </c>
      <c r="AA320">
        <v>0.26401999999999998</v>
      </c>
      <c r="AB320" s="1">
        <v>9.74</v>
      </c>
      <c r="AC320" s="1">
        <v>33</v>
      </c>
      <c r="AD320">
        <f t="shared" si="6"/>
        <v>29.515151515151516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 s="1">
        <v>2</v>
      </c>
      <c r="BE320" s="1">
        <v>0</v>
      </c>
      <c r="BF320" s="1">
        <v>0</v>
      </c>
      <c r="BG320" s="1">
        <v>44</v>
      </c>
      <c r="BH320" s="1">
        <v>49661.04</v>
      </c>
      <c r="BI320" s="1">
        <v>1</v>
      </c>
      <c r="BJ320" s="1">
        <v>1</v>
      </c>
    </row>
    <row r="321" spans="1:62" x14ac:dyDescent="0.3">
      <c r="A321" s="1">
        <v>1</v>
      </c>
      <c r="B321">
        <v>320</v>
      </c>
      <c r="C321" s="1" t="s">
        <v>51</v>
      </c>
      <c r="D321">
        <v>0</v>
      </c>
      <c r="E321" s="6">
        <v>42143</v>
      </c>
      <c r="F321" s="1" t="s">
        <v>52</v>
      </c>
      <c r="G321" s="1">
        <v>0</v>
      </c>
      <c r="H321" s="1">
        <v>1</v>
      </c>
      <c r="I321" s="1">
        <v>2</v>
      </c>
      <c r="J321" s="1" t="s">
        <v>194</v>
      </c>
      <c r="K321" s="1">
        <v>20.28</v>
      </c>
      <c r="L321" s="1">
        <v>0</v>
      </c>
      <c r="M321" s="1">
        <v>1</v>
      </c>
      <c r="N321" s="1">
        <v>1</v>
      </c>
      <c r="O321" s="1">
        <v>0</v>
      </c>
      <c r="P321" s="1">
        <v>1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2</v>
      </c>
      <c r="AA321">
        <v>0.89323999999999981</v>
      </c>
      <c r="AB321" s="1">
        <v>9.31</v>
      </c>
      <c r="AC321" s="1">
        <v>53</v>
      </c>
      <c r="AD321">
        <f t="shared" si="6"/>
        <v>17.566037735849058</v>
      </c>
      <c r="AE321" s="1">
        <v>5</v>
      </c>
      <c r="AF321" s="1">
        <v>1303</v>
      </c>
      <c r="AG321" s="1">
        <v>14.3</v>
      </c>
      <c r="AH321" s="1">
        <v>218</v>
      </c>
      <c r="AI321" s="1">
        <v>5.03</v>
      </c>
      <c r="AJ321" s="1">
        <v>11.8</v>
      </c>
      <c r="AK321" s="1">
        <v>67.400000000000006</v>
      </c>
      <c r="AL321" s="1">
        <v>51.9</v>
      </c>
      <c r="AM321" s="1">
        <v>15.4</v>
      </c>
      <c r="AQ321">
        <f t="shared" ref="AQ321:AQ327" si="7">AL321/AM321</f>
        <v>3.3701298701298699</v>
      </c>
      <c r="AR321">
        <v>1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1</v>
      </c>
      <c r="AY321">
        <v>0</v>
      </c>
      <c r="AZ321">
        <v>0</v>
      </c>
      <c r="BA321">
        <v>0</v>
      </c>
      <c r="BB321">
        <v>0</v>
      </c>
      <c r="BC321">
        <v>0</v>
      </c>
      <c r="BD321" s="1">
        <v>3</v>
      </c>
      <c r="BE321" s="1">
        <v>0</v>
      </c>
      <c r="BF321" s="1">
        <v>1</v>
      </c>
      <c r="BG321" s="1">
        <v>26</v>
      </c>
      <c r="BH321" s="1">
        <v>31613.62</v>
      </c>
      <c r="BI321" s="1">
        <v>0</v>
      </c>
      <c r="BJ321" s="1">
        <v>0</v>
      </c>
    </row>
    <row r="322" spans="1:62" x14ac:dyDescent="0.3">
      <c r="A322">
        <v>1</v>
      </c>
      <c r="B322" s="1">
        <v>321</v>
      </c>
      <c r="C322" s="1" t="s">
        <v>60</v>
      </c>
      <c r="D322">
        <v>0</v>
      </c>
      <c r="E322" s="2">
        <v>43528</v>
      </c>
      <c r="F322" t="s">
        <v>53</v>
      </c>
      <c r="G322" s="1">
        <v>0</v>
      </c>
      <c r="H322" s="1">
        <v>0</v>
      </c>
      <c r="I322" s="1">
        <v>2</v>
      </c>
      <c r="J322" s="1" t="s">
        <v>192</v>
      </c>
      <c r="K322" s="1">
        <v>26.12</v>
      </c>
      <c r="L322" s="1">
        <v>1</v>
      </c>
      <c r="M322" s="1">
        <v>1</v>
      </c>
      <c r="N322" s="1">
        <v>1</v>
      </c>
      <c r="O322" s="1">
        <v>1</v>
      </c>
      <c r="P322" s="1">
        <v>0</v>
      </c>
      <c r="Q322" s="1">
        <v>0</v>
      </c>
      <c r="R322" s="1">
        <v>0</v>
      </c>
      <c r="S322" s="1">
        <v>0</v>
      </c>
      <c r="T322" s="1">
        <v>1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2</v>
      </c>
      <c r="AA322" s="1">
        <v>0.83</v>
      </c>
      <c r="AB322" s="1">
        <v>7.37</v>
      </c>
      <c r="AC322" s="1">
        <v>21</v>
      </c>
      <c r="AD322">
        <f t="shared" si="6"/>
        <v>35.095238095238095</v>
      </c>
      <c r="AK322">
        <v>70.3</v>
      </c>
      <c r="AL322">
        <v>48</v>
      </c>
      <c r="AM322">
        <v>21.8</v>
      </c>
      <c r="AQ322">
        <f t="shared" si="7"/>
        <v>2.2018348623853212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1</v>
      </c>
      <c r="BE322" s="1">
        <v>0</v>
      </c>
      <c r="BF322" s="1">
        <v>0</v>
      </c>
      <c r="BG322" s="1">
        <v>9</v>
      </c>
      <c r="BH322">
        <f>23138.21+5216+1219+336+384+522+468+450+74.35</f>
        <v>31807.559999999998</v>
      </c>
      <c r="BI322" s="1">
        <v>1</v>
      </c>
      <c r="BJ322" s="1">
        <v>1</v>
      </c>
    </row>
    <row r="323" spans="1:62" x14ac:dyDescent="0.3">
      <c r="A323">
        <v>1</v>
      </c>
      <c r="B323">
        <v>322</v>
      </c>
      <c r="C323" t="s">
        <v>69</v>
      </c>
      <c r="D323">
        <v>0</v>
      </c>
      <c r="E323" s="2">
        <v>43515</v>
      </c>
      <c r="F323" t="s">
        <v>85</v>
      </c>
      <c r="G323" s="1">
        <v>0</v>
      </c>
      <c r="H323" s="1">
        <v>1</v>
      </c>
      <c r="I323" s="1">
        <v>2</v>
      </c>
      <c r="J323" s="1" t="s">
        <v>192</v>
      </c>
      <c r="K323" s="1">
        <v>25.02</v>
      </c>
      <c r="L323" s="1">
        <v>0</v>
      </c>
      <c r="M323" s="1">
        <v>1</v>
      </c>
      <c r="N323" s="1">
        <v>1</v>
      </c>
      <c r="O323" s="1">
        <v>1</v>
      </c>
      <c r="P323" s="1">
        <v>1</v>
      </c>
      <c r="Q323" s="1">
        <v>1</v>
      </c>
      <c r="R323" s="1">
        <v>1</v>
      </c>
      <c r="S323" s="1">
        <v>0</v>
      </c>
      <c r="T323" s="1">
        <v>1</v>
      </c>
      <c r="U323" s="1">
        <v>0</v>
      </c>
      <c r="V323" s="1">
        <v>0</v>
      </c>
      <c r="W323" s="1">
        <v>1</v>
      </c>
      <c r="X323" s="1">
        <v>1</v>
      </c>
      <c r="Y323" s="1">
        <v>0</v>
      </c>
      <c r="Z323" s="1">
        <v>2</v>
      </c>
      <c r="AA323" s="1">
        <v>0.39</v>
      </c>
      <c r="AK323">
        <v>71.5</v>
      </c>
      <c r="AL323">
        <v>44</v>
      </c>
      <c r="AM323">
        <v>23</v>
      </c>
      <c r="AN323">
        <v>279</v>
      </c>
      <c r="AO323">
        <v>172</v>
      </c>
      <c r="AP323">
        <v>90</v>
      </c>
      <c r="AQ323">
        <f t="shared" si="7"/>
        <v>1.9130434782608696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2</v>
      </c>
      <c r="BE323" s="1">
        <v>0</v>
      </c>
      <c r="BF323" s="1">
        <v>0</v>
      </c>
      <c r="BG323" s="1">
        <v>15</v>
      </c>
      <c r="BH323">
        <f>12714.61+11684+3475+4984+443+384+841+1006+725+14402.86</f>
        <v>50659.47</v>
      </c>
      <c r="BI323" s="1">
        <v>0</v>
      </c>
      <c r="BJ323" s="1">
        <v>0</v>
      </c>
    </row>
    <row r="324" spans="1:62" x14ac:dyDescent="0.3">
      <c r="A324" s="1">
        <v>1</v>
      </c>
      <c r="B324" s="1">
        <v>323</v>
      </c>
      <c r="C324" s="1" t="s">
        <v>60</v>
      </c>
      <c r="D324">
        <v>0</v>
      </c>
      <c r="E324" s="6">
        <v>42388</v>
      </c>
      <c r="F324" s="1" t="s">
        <v>67</v>
      </c>
      <c r="G324" s="1">
        <v>0</v>
      </c>
      <c r="H324" s="1">
        <v>1</v>
      </c>
      <c r="I324" s="1">
        <v>3</v>
      </c>
      <c r="J324" s="1" t="s">
        <v>189</v>
      </c>
      <c r="K324" s="1">
        <v>25.66</v>
      </c>
      <c r="L324" s="1">
        <v>1</v>
      </c>
      <c r="M324" s="1">
        <v>1</v>
      </c>
      <c r="N324" s="1">
        <v>1</v>
      </c>
      <c r="O324" s="1">
        <v>0</v>
      </c>
      <c r="P324" s="1">
        <v>1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1</v>
      </c>
      <c r="X324" s="1">
        <v>0</v>
      </c>
      <c r="Y324" s="1">
        <v>0</v>
      </c>
      <c r="Z324" s="1">
        <v>2</v>
      </c>
      <c r="AA324">
        <v>0.78127999999999986</v>
      </c>
      <c r="AB324" s="1">
        <v>11.48</v>
      </c>
      <c r="AC324" s="1">
        <v>100</v>
      </c>
      <c r="AD324">
        <f>AB324*100/AC324</f>
        <v>11.48</v>
      </c>
      <c r="AK324" s="1">
        <v>57.6</v>
      </c>
      <c r="AL324" s="1">
        <v>28.6</v>
      </c>
      <c r="AM324" s="1">
        <v>17.600000000000001</v>
      </c>
      <c r="AN324" s="1">
        <v>450</v>
      </c>
      <c r="AO324" s="1">
        <v>223</v>
      </c>
      <c r="AP324" s="1">
        <v>138</v>
      </c>
      <c r="AQ324">
        <f t="shared" si="7"/>
        <v>1.625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>
        <v>0</v>
      </c>
      <c r="BB324">
        <v>0</v>
      </c>
      <c r="BC324">
        <v>0</v>
      </c>
      <c r="BD324" s="1">
        <v>0</v>
      </c>
      <c r="BE324" s="1">
        <v>0</v>
      </c>
      <c r="BF324" s="1">
        <v>0</v>
      </c>
      <c r="BG324" s="1">
        <v>16</v>
      </c>
      <c r="BH324" s="1">
        <v>32162.65</v>
      </c>
      <c r="BI324" s="1">
        <v>1</v>
      </c>
      <c r="BJ324" s="1">
        <v>0</v>
      </c>
    </row>
    <row r="325" spans="1:62" x14ac:dyDescent="0.3">
      <c r="A325" s="1">
        <v>1</v>
      </c>
      <c r="B325" s="1">
        <v>324</v>
      </c>
      <c r="C325" s="1" t="s">
        <v>60</v>
      </c>
      <c r="D325">
        <v>0</v>
      </c>
      <c r="E325" s="6">
        <v>43021</v>
      </c>
      <c r="F325" s="1" t="s">
        <v>121</v>
      </c>
      <c r="G325" s="1">
        <v>0</v>
      </c>
      <c r="H325" s="1">
        <v>0</v>
      </c>
      <c r="I325" s="1">
        <v>2</v>
      </c>
      <c r="J325" s="1" t="s">
        <v>194</v>
      </c>
      <c r="K325" s="1">
        <v>21.3</v>
      </c>
      <c r="L325" s="1">
        <v>0</v>
      </c>
      <c r="M325" s="1">
        <v>1</v>
      </c>
      <c r="N325" s="1">
        <v>0</v>
      </c>
      <c r="O325" s="1">
        <v>0</v>
      </c>
      <c r="P325" s="1">
        <v>1</v>
      </c>
      <c r="Q325" s="1">
        <v>1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1</v>
      </c>
      <c r="AA325">
        <v>1.7323999999999997</v>
      </c>
      <c r="AK325">
        <v>58.6</v>
      </c>
      <c r="AL325">
        <v>29.1</v>
      </c>
      <c r="AM325">
        <v>27.5</v>
      </c>
      <c r="AQ325">
        <f t="shared" si="7"/>
        <v>1.0581818181818183</v>
      </c>
      <c r="AR325">
        <v>1</v>
      </c>
      <c r="AS325">
        <v>1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 s="1">
        <v>2</v>
      </c>
      <c r="BE325" s="1">
        <v>0</v>
      </c>
      <c r="BF325" s="1">
        <v>0</v>
      </c>
      <c r="BG325" s="1">
        <v>6</v>
      </c>
      <c r="BH325" s="1">
        <v>3876.68</v>
      </c>
      <c r="BI325" s="1">
        <v>1</v>
      </c>
      <c r="BJ325" s="1">
        <v>0</v>
      </c>
    </row>
    <row r="326" spans="1:62" x14ac:dyDescent="0.3">
      <c r="A326" s="1">
        <v>1</v>
      </c>
      <c r="B326">
        <v>325</v>
      </c>
      <c r="C326" s="1" t="s">
        <v>55</v>
      </c>
      <c r="D326">
        <v>0</v>
      </c>
      <c r="E326" s="6">
        <v>42899</v>
      </c>
      <c r="F326" s="1" t="s">
        <v>82</v>
      </c>
      <c r="G326" s="1">
        <v>0</v>
      </c>
      <c r="H326" s="1">
        <v>0</v>
      </c>
      <c r="I326" s="1">
        <v>3</v>
      </c>
      <c r="J326" s="1" t="s">
        <v>184</v>
      </c>
      <c r="K326" s="1">
        <v>26.29</v>
      </c>
      <c r="L326" s="1">
        <v>0</v>
      </c>
      <c r="M326" s="1">
        <v>0</v>
      </c>
      <c r="N326" s="1">
        <v>0</v>
      </c>
      <c r="O326" s="1">
        <v>0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2</v>
      </c>
      <c r="AA326">
        <v>1.0357799999999999</v>
      </c>
      <c r="AK326" s="1">
        <v>73.099999999999994</v>
      </c>
      <c r="AL326" s="1">
        <v>50</v>
      </c>
      <c r="AM326" s="1">
        <v>19.5</v>
      </c>
      <c r="AQ326">
        <f t="shared" si="7"/>
        <v>2.5641025641025643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17</v>
      </c>
      <c r="BH326" s="1">
        <v>32292.400000000001</v>
      </c>
      <c r="BI326" s="1">
        <v>1</v>
      </c>
      <c r="BJ326" s="1">
        <v>0</v>
      </c>
    </row>
    <row r="327" spans="1:62" x14ac:dyDescent="0.3">
      <c r="A327">
        <v>1</v>
      </c>
      <c r="B327" s="1">
        <v>326</v>
      </c>
      <c r="C327" t="s">
        <v>57</v>
      </c>
      <c r="D327">
        <v>0</v>
      </c>
      <c r="E327" s="2">
        <v>43518</v>
      </c>
      <c r="F327" t="s">
        <v>56</v>
      </c>
      <c r="G327" s="1">
        <v>0</v>
      </c>
      <c r="H327" s="1">
        <v>0</v>
      </c>
      <c r="I327" s="1">
        <v>2</v>
      </c>
      <c r="J327" s="1" t="s">
        <v>192</v>
      </c>
      <c r="K327" s="1">
        <v>19.78</v>
      </c>
      <c r="L327" s="1">
        <v>0</v>
      </c>
      <c r="M327" s="1">
        <v>1</v>
      </c>
      <c r="N327" s="1">
        <v>1</v>
      </c>
      <c r="O327" s="1">
        <v>0</v>
      </c>
      <c r="P327" s="1">
        <v>0</v>
      </c>
      <c r="Q327" s="1">
        <v>1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1</v>
      </c>
      <c r="Y327" s="1">
        <v>1</v>
      </c>
      <c r="Z327" s="1">
        <v>1</v>
      </c>
      <c r="AA327" s="1">
        <v>1.22</v>
      </c>
      <c r="AK327">
        <v>73.900000000000006</v>
      </c>
      <c r="AL327">
        <v>50.5</v>
      </c>
      <c r="AM327">
        <v>20</v>
      </c>
      <c r="AN327">
        <v>879</v>
      </c>
      <c r="AO327">
        <v>601</v>
      </c>
      <c r="AP327">
        <v>238</v>
      </c>
      <c r="AQ327">
        <f t="shared" si="7"/>
        <v>2.5249999999999999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1</v>
      </c>
      <c r="BE327" s="1">
        <v>0</v>
      </c>
      <c r="BF327" s="1">
        <v>0</v>
      </c>
      <c r="BG327" s="1">
        <v>7</v>
      </c>
      <c r="BH327">
        <f>2991.81+280.72+3702+1176+116+377+273+325+38.33</f>
        <v>9279.8599999999988</v>
      </c>
      <c r="BI327" s="1">
        <v>0</v>
      </c>
      <c r="BJ327" s="1">
        <v>0</v>
      </c>
    </row>
    <row r="328" spans="1:62" x14ac:dyDescent="0.3">
      <c r="A328" s="1">
        <v>1</v>
      </c>
      <c r="B328">
        <v>327</v>
      </c>
      <c r="C328" s="1" t="s">
        <v>54</v>
      </c>
      <c r="D328">
        <v>0</v>
      </c>
      <c r="E328" s="6">
        <v>43023</v>
      </c>
      <c r="F328" s="1" t="s">
        <v>85</v>
      </c>
      <c r="G328" s="1">
        <v>0</v>
      </c>
      <c r="H328" s="1">
        <v>0</v>
      </c>
      <c r="I328" s="1">
        <v>2</v>
      </c>
      <c r="J328" s="1" t="s">
        <v>192</v>
      </c>
      <c r="K328" s="1">
        <v>25.88</v>
      </c>
      <c r="L328" s="1">
        <v>0</v>
      </c>
      <c r="M328" s="1">
        <v>0</v>
      </c>
      <c r="N328" s="1">
        <v>1</v>
      </c>
      <c r="O328" s="1">
        <v>0</v>
      </c>
      <c r="P328" s="1">
        <v>0</v>
      </c>
      <c r="Q328" s="1">
        <v>1</v>
      </c>
      <c r="R328" s="1">
        <v>1</v>
      </c>
      <c r="S328" s="1">
        <v>0</v>
      </c>
      <c r="T328" s="1">
        <v>0</v>
      </c>
      <c r="U328" s="1">
        <v>0</v>
      </c>
      <c r="V328" s="1">
        <v>1</v>
      </c>
      <c r="W328" s="1">
        <v>0</v>
      </c>
      <c r="X328" s="1">
        <v>1</v>
      </c>
      <c r="Y328" s="1">
        <v>0</v>
      </c>
      <c r="Z328" s="1">
        <v>2</v>
      </c>
      <c r="AA328">
        <v>0.56279999999999997</v>
      </c>
      <c r="AN328" s="1">
        <v>542</v>
      </c>
      <c r="AO328" s="1">
        <v>388</v>
      </c>
      <c r="AP328" s="1">
        <v>140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3</v>
      </c>
      <c r="BE328" s="1">
        <v>0</v>
      </c>
      <c r="BF328" s="1">
        <v>0</v>
      </c>
      <c r="BG328" s="1">
        <v>13</v>
      </c>
      <c r="BH328" s="1">
        <v>18362.310000000001</v>
      </c>
      <c r="BI328" s="1">
        <v>0</v>
      </c>
      <c r="BJ328" s="1">
        <v>0</v>
      </c>
    </row>
    <row r="329" spans="1:62" x14ac:dyDescent="0.3">
      <c r="A329" s="1">
        <v>1</v>
      </c>
      <c r="B329" s="1">
        <v>328</v>
      </c>
      <c r="C329" s="1" t="s">
        <v>71</v>
      </c>
      <c r="D329">
        <v>0</v>
      </c>
      <c r="E329" s="6">
        <v>43148</v>
      </c>
      <c r="F329" s="1" t="s">
        <v>53</v>
      </c>
      <c r="G329" s="1">
        <v>0</v>
      </c>
      <c r="H329" s="1">
        <v>1</v>
      </c>
      <c r="I329" s="1">
        <v>2</v>
      </c>
      <c r="J329" s="1" t="s">
        <v>191</v>
      </c>
      <c r="K329" s="1">
        <v>25.25</v>
      </c>
      <c r="L329" s="1">
        <v>2</v>
      </c>
      <c r="M329" s="1">
        <v>1</v>
      </c>
      <c r="N329" s="1">
        <v>1</v>
      </c>
      <c r="O329" s="1">
        <v>1</v>
      </c>
      <c r="P329" s="1">
        <v>0</v>
      </c>
      <c r="Q329" s="1">
        <v>0</v>
      </c>
      <c r="R329" s="1">
        <v>0</v>
      </c>
      <c r="S329" s="1">
        <v>1</v>
      </c>
      <c r="T329" s="1">
        <v>1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1</v>
      </c>
      <c r="AA329">
        <v>0.25380000000000003</v>
      </c>
      <c r="AB329" s="1">
        <v>7.59</v>
      </c>
      <c r="AC329" s="1">
        <v>33</v>
      </c>
      <c r="AD329">
        <f>AB329*100/AC329</f>
        <v>23</v>
      </c>
      <c r="AE329" s="1">
        <v>5</v>
      </c>
      <c r="AF329" s="1">
        <v>1775</v>
      </c>
      <c r="AG329" s="1">
        <v>10.199999999999999</v>
      </c>
      <c r="AH329" s="1">
        <v>20</v>
      </c>
      <c r="AI329" s="1">
        <v>12.5</v>
      </c>
      <c r="AJ329" s="1">
        <v>6.38</v>
      </c>
      <c r="AK329" s="1">
        <v>75.5</v>
      </c>
      <c r="AL329" s="1">
        <v>46</v>
      </c>
      <c r="AM329" s="1">
        <v>30.7</v>
      </c>
      <c r="AN329" s="1">
        <v>498</v>
      </c>
      <c r="AO329" s="1">
        <v>304</v>
      </c>
      <c r="AP329" s="1">
        <v>203</v>
      </c>
      <c r="AQ329">
        <f>AL329/AM329</f>
        <v>1.498371335504886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1</v>
      </c>
      <c r="BE329" s="1">
        <v>1</v>
      </c>
      <c r="BF329" s="1">
        <v>0</v>
      </c>
      <c r="BG329" s="1">
        <v>16</v>
      </c>
      <c r="BH329" s="1">
        <v>33171.83</v>
      </c>
      <c r="BI329" s="1">
        <v>0</v>
      </c>
      <c r="BJ329" s="1">
        <v>1</v>
      </c>
    </row>
    <row r="330" spans="1:62" x14ac:dyDescent="0.3">
      <c r="A330" s="1">
        <v>1</v>
      </c>
      <c r="B330" s="1">
        <v>329</v>
      </c>
      <c r="C330" s="1" t="s">
        <v>60</v>
      </c>
      <c r="D330">
        <v>0</v>
      </c>
      <c r="E330" s="6">
        <v>43138</v>
      </c>
      <c r="F330" s="1" t="s">
        <v>95</v>
      </c>
      <c r="G330" s="1">
        <v>1</v>
      </c>
      <c r="H330" s="1">
        <v>1</v>
      </c>
      <c r="I330" s="1">
        <v>2</v>
      </c>
      <c r="J330" s="1" t="s">
        <v>191</v>
      </c>
      <c r="K330" s="1">
        <v>23.44</v>
      </c>
      <c r="L330" s="1">
        <v>2</v>
      </c>
      <c r="M330" s="1">
        <v>1</v>
      </c>
      <c r="N330" s="1">
        <v>0</v>
      </c>
      <c r="O330" s="1">
        <v>0</v>
      </c>
      <c r="P330" s="1">
        <v>0</v>
      </c>
      <c r="Q330" s="1">
        <v>1</v>
      </c>
      <c r="R330" s="1">
        <v>1</v>
      </c>
      <c r="S330" s="1">
        <v>0</v>
      </c>
      <c r="T330" s="1">
        <v>0</v>
      </c>
      <c r="U330" s="1">
        <v>0</v>
      </c>
      <c r="V330" s="1">
        <v>1</v>
      </c>
      <c r="W330" s="1">
        <v>0</v>
      </c>
      <c r="X330" s="1">
        <v>0</v>
      </c>
      <c r="Y330" s="1">
        <v>1</v>
      </c>
      <c r="Z330" s="1">
        <v>2</v>
      </c>
      <c r="AB330" s="1">
        <v>7.25</v>
      </c>
      <c r="AC330" s="1">
        <v>21</v>
      </c>
      <c r="AD330">
        <f>AB330*100/AC330</f>
        <v>34.523809523809526</v>
      </c>
      <c r="AE330" s="1">
        <v>5</v>
      </c>
      <c r="AF330" s="1">
        <v>4488</v>
      </c>
      <c r="AG330" s="1">
        <v>18.8</v>
      </c>
      <c r="AH330" s="1">
        <v>18.899999999999999</v>
      </c>
      <c r="AI330" s="1">
        <v>5</v>
      </c>
      <c r="AN330" s="1">
        <v>1622</v>
      </c>
      <c r="AO330" s="1">
        <v>117.6</v>
      </c>
      <c r="AP330" s="1">
        <v>434</v>
      </c>
      <c r="AR330" s="1">
        <v>1</v>
      </c>
      <c r="AS330" s="1">
        <v>1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4</v>
      </c>
      <c r="BE330" s="1">
        <v>2</v>
      </c>
      <c r="BF330" s="1">
        <v>0</v>
      </c>
      <c r="BG330" s="1">
        <v>5</v>
      </c>
      <c r="BH330" s="1">
        <v>35996.74</v>
      </c>
      <c r="BI330" s="1">
        <v>1</v>
      </c>
      <c r="BJ330" s="1">
        <v>1</v>
      </c>
    </row>
    <row r="331" spans="1:62" x14ac:dyDescent="0.3">
      <c r="A331" s="1">
        <v>1</v>
      </c>
      <c r="B331">
        <v>330</v>
      </c>
      <c r="C331" s="1" t="s">
        <v>58</v>
      </c>
      <c r="D331">
        <v>0</v>
      </c>
      <c r="E331" s="6">
        <v>42168</v>
      </c>
      <c r="F331" s="1" t="s">
        <v>59</v>
      </c>
      <c r="G331" s="1">
        <v>0</v>
      </c>
      <c r="H331" s="1">
        <v>0</v>
      </c>
      <c r="I331" s="1">
        <v>2</v>
      </c>
      <c r="J331" s="1" t="s">
        <v>194</v>
      </c>
      <c r="K331" s="1">
        <v>23.03</v>
      </c>
      <c r="L331" s="1">
        <v>0</v>
      </c>
      <c r="M331" s="1">
        <v>0</v>
      </c>
      <c r="N331" s="1">
        <v>1</v>
      </c>
      <c r="O331" s="1">
        <v>0</v>
      </c>
      <c r="P331" s="1">
        <v>1</v>
      </c>
      <c r="Q331" s="1">
        <v>0</v>
      </c>
      <c r="R331" s="1">
        <v>0</v>
      </c>
      <c r="S331" s="1">
        <v>0</v>
      </c>
      <c r="T331" s="1">
        <v>1</v>
      </c>
      <c r="U331" s="1">
        <v>1</v>
      </c>
      <c r="V331" s="1">
        <v>1</v>
      </c>
      <c r="W331" s="1">
        <v>0</v>
      </c>
      <c r="X331" s="1">
        <v>0</v>
      </c>
      <c r="Y331" s="1">
        <v>0</v>
      </c>
      <c r="Z331" s="1">
        <v>2</v>
      </c>
      <c r="AA331">
        <v>1.5794900000000001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 s="1">
        <v>1</v>
      </c>
      <c r="BE331" s="1">
        <v>0</v>
      </c>
      <c r="BF331" s="1">
        <v>0</v>
      </c>
      <c r="BG331" s="1">
        <v>30</v>
      </c>
      <c r="BH331" s="1">
        <v>33374.879999999997</v>
      </c>
      <c r="BI331" s="1">
        <v>0</v>
      </c>
      <c r="BJ331" s="1">
        <v>0</v>
      </c>
    </row>
    <row r="332" spans="1:62" x14ac:dyDescent="0.3">
      <c r="A332">
        <v>1</v>
      </c>
      <c r="B332" s="1">
        <v>331</v>
      </c>
      <c r="C332" t="s">
        <v>54</v>
      </c>
      <c r="D332">
        <v>0</v>
      </c>
      <c r="E332" s="2" t="s">
        <v>145</v>
      </c>
      <c r="F332" s="4" t="s">
        <v>121</v>
      </c>
      <c r="G332" s="1">
        <v>0</v>
      </c>
      <c r="H332" s="1">
        <v>0</v>
      </c>
      <c r="I332" s="1">
        <v>2</v>
      </c>
      <c r="J332" s="1" t="s">
        <v>197</v>
      </c>
      <c r="K332" s="1">
        <v>21.87</v>
      </c>
      <c r="L332" s="1">
        <v>2</v>
      </c>
      <c r="M332" s="1">
        <v>1</v>
      </c>
      <c r="N332" s="1">
        <v>1</v>
      </c>
      <c r="O332" s="1">
        <v>0</v>
      </c>
      <c r="P332" s="1">
        <v>1</v>
      </c>
      <c r="Q332" s="1">
        <v>1</v>
      </c>
      <c r="R332" s="1">
        <v>0</v>
      </c>
      <c r="S332" s="1">
        <v>0</v>
      </c>
      <c r="T332" s="1">
        <v>1</v>
      </c>
      <c r="U332" s="1">
        <v>0</v>
      </c>
      <c r="V332" s="1">
        <v>1</v>
      </c>
      <c r="W332" s="1">
        <v>0</v>
      </c>
      <c r="X332" s="1">
        <v>0</v>
      </c>
      <c r="Y332" s="1">
        <v>0</v>
      </c>
      <c r="Z332" s="1">
        <v>2</v>
      </c>
      <c r="AA332" s="1">
        <v>1.39</v>
      </c>
      <c r="AB332" s="1">
        <v>13.58</v>
      </c>
      <c r="AC332" s="1">
        <v>33</v>
      </c>
      <c r="AD332">
        <f>AB332*100/AC332</f>
        <v>41.151515151515149</v>
      </c>
      <c r="AK332">
        <v>68.900000000000006</v>
      </c>
      <c r="AL332">
        <v>41.5</v>
      </c>
      <c r="AM332">
        <v>24.4</v>
      </c>
      <c r="AQ332">
        <f t="shared" ref="AQ332:AQ338" si="8">AL332/AM332</f>
        <v>1.7008196721311477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1</v>
      </c>
      <c r="BE332" s="1">
        <v>0</v>
      </c>
      <c r="BF332" s="1">
        <v>0</v>
      </c>
      <c r="BG332" s="1">
        <v>11</v>
      </c>
      <c r="BH332">
        <f>8847.71+576.37+7795+4538+4724+128+3750+1575+1875+111</f>
        <v>33920.080000000002</v>
      </c>
      <c r="BI332" s="1">
        <v>0</v>
      </c>
      <c r="BJ332" s="1">
        <v>0</v>
      </c>
    </row>
    <row r="333" spans="1:62" x14ac:dyDescent="0.3">
      <c r="A333" s="1">
        <v>1</v>
      </c>
      <c r="B333">
        <v>332</v>
      </c>
      <c r="C333" s="1" t="s">
        <v>104</v>
      </c>
      <c r="D333">
        <v>1</v>
      </c>
      <c r="E333" s="6">
        <v>43136</v>
      </c>
      <c r="F333" s="1" t="s">
        <v>64</v>
      </c>
      <c r="G333" s="1">
        <v>1</v>
      </c>
      <c r="H333" s="1">
        <v>0</v>
      </c>
      <c r="I333" s="1">
        <v>2</v>
      </c>
      <c r="J333" s="1" t="s">
        <v>192</v>
      </c>
      <c r="K333" s="1">
        <v>22.79</v>
      </c>
      <c r="L333" s="1">
        <v>2</v>
      </c>
      <c r="M333" s="1">
        <v>1</v>
      </c>
      <c r="N333" s="1">
        <v>1</v>
      </c>
      <c r="O333" s="1">
        <v>0</v>
      </c>
      <c r="P333" s="1">
        <v>1</v>
      </c>
      <c r="Q333" s="1">
        <v>0</v>
      </c>
      <c r="R333" s="1">
        <v>1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2</v>
      </c>
      <c r="AA333">
        <v>1.9901800000000001</v>
      </c>
      <c r="AE333" s="1">
        <v>5</v>
      </c>
      <c r="AF333" s="1">
        <v>1703</v>
      </c>
      <c r="AG333" s="1">
        <v>93</v>
      </c>
      <c r="AH333" s="1">
        <v>189</v>
      </c>
      <c r="AI333" s="1">
        <v>5</v>
      </c>
      <c r="AJ333" s="1">
        <v>14</v>
      </c>
      <c r="AK333" s="1">
        <v>81</v>
      </c>
      <c r="AL333" s="1">
        <v>41.7</v>
      </c>
      <c r="AM333" s="1">
        <v>33.1</v>
      </c>
      <c r="AN333" s="1">
        <v>1539</v>
      </c>
      <c r="AO333" s="1">
        <v>792</v>
      </c>
      <c r="AP333" s="1">
        <v>629</v>
      </c>
      <c r="AQ333">
        <f t="shared" si="8"/>
        <v>1.2598187311178248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1</v>
      </c>
      <c r="BE333" s="1">
        <v>0</v>
      </c>
      <c r="BF333" s="1">
        <v>0</v>
      </c>
      <c r="BG333" s="1">
        <v>19</v>
      </c>
      <c r="BH333" s="1">
        <v>33608.76</v>
      </c>
      <c r="BI333" s="1">
        <v>1</v>
      </c>
      <c r="BJ333" s="1">
        <v>1</v>
      </c>
    </row>
    <row r="334" spans="1:62" x14ac:dyDescent="0.3">
      <c r="A334" s="1">
        <v>1</v>
      </c>
      <c r="B334" s="1">
        <v>333</v>
      </c>
      <c r="C334" s="1" t="s">
        <v>60</v>
      </c>
      <c r="D334">
        <v>0</v>
      </c>
      <c r="E334" s="6">
        <v>42187</v>
      </c>
      <c r="F334" s="1" t="s">
        <v>56</v>
      </c>
      <c r="G334" s="1">
        <v>0</v>
      </c>
      <c r="H334" s="1">
        <v>0</v>
      </c>
      <c r="I334" s="1">
        <v>2</v>
      </c>
      <c r="J334" s="1" t="s">
        <v>193</v>
      </c>
      <c r="K334" s="1">
        <v>20.96</v>
      </c>
      <c r="L334" s="1">
        <v>0</v>
      </c>
      <c r="M334" s="1">
        <v>1</v>
      </c>
      <c r="N334" s="1">
        <v>1</v>
      </c>
      <c r="O334" s="1">
        <v>1</v>
      </c>
      <c r="P334" s="1">
        <v>1</v>
      </c>
      <c r="Q334" s="1">
        <v>1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2</v>
      </c>
      <c r="AA334">
        <v>0.87084000000000006</v>
      </c>
      <c r="AB334" s="1">
        <v>11.48</v>
      </c>
      <c r="AC334" s="1">
        <v>21</v>
      </c>
      <c r="AD334">
        <f>AB334*100/AC334</f>
        <v>54.666666666666664</v>
      </c>
      <c r="AK334" s="1">
        <v>71.900000000000006</v>
      </c>
      <c r="AL334" s="1">
        <v>50.7</v>
      </c>
      <c r="AM334" s="1">
        <v>18.2</v>
      </c>
      <c r="AQ334">
        <f t="shared" si="8"/>
        <v>2.785714285714286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 s="1">
        <v>2</v>
      </c>
      <c r="BE334" s="1">
        <v>0</v>
      </c>
      <c r="BF334" s="1">
        <v>0</v>
      </c>
      <c r="BG334" s="1">
        <v>11</v>
      </c>
      <c r="BH334" s="1">
        <v>11045.5</v>
      </c>
      <c r="BI334" s="1">
        <v>0</v>
      </c>
      <c r="BJ334" s="1">
        <v>0</v>
      </c>
    </row>
    <row r="335" spans="1:62" x14ac:dyDescent="0.3">
      <c r="A335" s="1">
        <v>1</v>
      </c>
      <c r="B335" s="1">
        <v>334</v>
      </c>
      <c r="C335" s="1" t="s">
        <v>51</v>
      </c>
      <c r="D335">
        <v>0</v>
      </c>
      <c r="E335" s="6">
        <v>43238</v>
      </c>
      <c r="F335" s="1" t="s">
        <v>52</v>
      </c>
      <c r="G335" s="1">
        <v>0</v>
      </c>
      <c r="H335" s="1">
        <v>1</v>
      </c>
      <c r="I335" s="1">
        <v>2</v>
      </c>
      <c r="J335" s="1" t="s">
        <v>195</v>
      </c>
      <c r="K335" s="1">
        <v>27.68</v>
      </c>
      <c r="L335" s="1">
        <v>2</v>
      </c>
      <c r="M335" s="1">
        <v>1</v>
      </c>
      <c r="N335" s="1">
        <v>1</v>
      </c>
      <c r="O335" s="1">
        <v>1</v>
      </c>
      <c r="P335" s="1">
        <v>0</v>
      </c>
      <c r="Q335" s="1">
        <v>1</v>
      </c>
      <c r="R335" s="1">
        <v>0</v>
      </c>
      <c r="S335" s="1">
        <v>0</v>
      </c>
      <c r="T335" s="1">
        <v>0</v>
      </c>
      <c r="U335" s="1">
        <v>0</v>
      </c>
      <c r="V335" s="1">
        <v>1</v>
      </c>
      <c r="W335" s="1">
        <v>1</v>
      </c>
      <c r="X335" s="1">
        <v>0</v>
      </c>
      <c r="Y335" s="1">
        <v>0</v>
      </c>
      <c r="Z335" s="1">
        <v>2</v>
      </c>
      <c r="AA335">
        <v>0.48512</v>
      </c>
      <c r="AB335" s="1">
        <v>16.27</v>
      </c>
      <c r="AC335" s="1">
        <v>33</v>
      </c>
      <c r="AD335">
        <f>AB335*100/AC335</f>
        <v>49.303030303030305</v>
      </c>
      <c r="AE335" s="1">
        <v>5</v>
      </c>
      <c r="AF335" s="1">
        <v>736</v>
      </c>
      <c r="AG335" s="1">
        <v>6.4</v>
      </c>
      <c r="AH335" s="1">
        <v>78.8</v>
      </c>
      <c r="AI335" s="1">
        <v>5</v>
      </c>
      <c r="AJ335" s="1">
        <v>11.6</v>
      </c>
      <c r="AK335" s="1">
        <v>60.3</v>
      </c>
      <c r="AL335" s="1">
        <v>43.4</v>
      </c>
      <c r="AM335" s="1">
        <v>16.3</v>
      </c>
      <c r="AN335" s="1">
        <v>374</v>
      </c>
      <c r="AO335" s="1">
        <v>269</v>
      </c>
      <c r="AP335" s="1">
        <v>101</v>
      </c>
      <c r="AQ335">
        <f t="shared" si="8"/>
        <v>2.6625766871165641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3</v>
      </c>
      <c r="BE335" s="1">
        <v>0</v>
      </c>
      <c r="BF335" s="1">
        <v>1</v>
      </c>
      <c r="BG335" s="1">
        <v>22</v>
      </c>
      <c r="BH335" s="1">
        <v>32717.8</v>
      </c>
      <c r="BI335" s="1">
        <v>0</v>
      </c>
      <c r="BJ335" s="1">
        <v>0</v>
      </c>
    </row>
    <row r="336" spans="1:62" x14ac:dyDescent="0.3">
      <c r="A336">
        <v>1</v>
      </c>
      <c r="B336">
        <v>335</v>
      </c>
      <c r="C336" t="s">
        <v>126</v>
      </c>
      <c r="D336">
        <v>1</v>
      </c>
      <c r="E336" s="2">
        <v>43482</v>
      </c>
      <c r="F336" t="s">
        <v>123</v>
      </c>
      <c r="G336" s="1">
        <v>0</v>
      </c>
      <c r="H336" s="1">
        <v>1</v>
      </c>
      <c r="I336" s="1">
        <v>2</v>
      </c>
      <c r="J336" s="1" t="s">
        <v>192</v>
      </c>
      <c r="K336" s="1">
        <v>21.63</v>
      </c>
      <c r="L336" s="1">
        <v>0</v>
      </c>
      <c r="M336" s="1">
        <v>1</v>
      </c>
      <c r="N336" s="1">
        <v>1</v>
      </c>
      <c r="O336" s="1">
        <v>1</v>
      </c>
      <c r="P336" s="1">
        <v>1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2</v>
      </c>
      <c r="AA336" s="1">
        <v>0.38</v>
      </c>
      <c r="AB336" s="1">
        <v>10.77</v>
      </c>
      <c r="AC336" s="1">
        <v>21</v>
      </c>
      <c r="AD336">
        <f>AB336*100/AC336</f>
        <v>51.285714285714285</v>
      </c>
      <c r="AE336" s="1">
        <v>5</v>
      </c>
      <c r="AF336" s="1">
        <v>804</v>
      </c>
      <c r="AG336" s="1">
        <v>11.6</v>
      </c>
      <c r="AH336" s="1">
        <v>24</v>
      </c>
      <c r="AI336" s="1">
        <v>5</v>
      </c>
      <c r="AJ336" s="1">
        <v>8.35</v>
      </c>
      <c r="AK336" s="1">
        <v>61.9</v>
      </c>
      <c r="AL336" s="1">
        <v>45.9</v>
      </c>
      <c r="AM336" s="1">
        <v>13.3</v>
      </c>
      <c r="AN336" s="1">
        <v>248</v>
      </c>
      <c r="AO336" s="1">
        <v>184</v>
      </c>
      <c r="AP336" s="1">
        <v>53</v>
      </c>
      <c r="AQ336">
        <f t="shared" si="8"/>
        <v>3.4511278195488719</v>
      </c>
      <c r="AR336" s="1">
        <v>1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2</v>
      </c>
      <c r="BE336" s="1">
        <v>1</v>
      </c>
      <c r="BF336" s="1">
        <v>1</v>
      </c>
      <c r="BG336" s="1">
        <v>15</v>
      </c>
      <c r="BH336">
        <f>11319.91+12674+1480+140+2905+1030+3739+541+275+446.15</f>
        <v>34550.060000000005</v>
      </c>
      <c r="BI336" s="1">
        <v>1</v>
      </c>
      <c r="BJ336" s="1">
        <v>1</v>
      </c>
    </row>
    <row r="337" spans="1:62" x14ac:dyDescent="0.3">
      <c r="A337" s="1">
        <v>1</v>
      </c>
      <c r="B337" s="1">
        <v>336</v>
      </c>
      <c r="C337" s="1" t="s">
        <v>71</v>
      </c>
      <c r="D337">
        <v>0</v>
      </c>
      <c r="E337" s="6">
        <v>42440</v>
      </c>
      <c r="F337" s="1" t="s">
        <v>56</v>
      </c>
      <c r="G337" s="1">
        <v>0</v>
      </c>
      <c r="H337" s="1">
        <v>0</v>
      </c>
      <c r="I337" s="1">
        <v>2</v>
      </c>
      <c r="J337" s="1" t="s">
        <v>191</v>
      </c>
      <c r="K337" s="1">
        <v>22.65</v>
      </c>
      <c r="L337" s="1">
        <v>0</v>
      </c>
      <c r="M337" s="1">
        <v>1</v>
      </c>
      <c r="N337" s="1">
        <v>1</v>
      </c>
      <c r="O337" s="1">
        <v>0</v>
      </c>
      <c r="P337" s="1">
        <v>1</v>
      </c>
      <c r="Q337" s="1">
        <v>1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2</v>
      </c>
      <c r="AA337">
        <v>1.2529999999999999</v>
      </c>
      <c r="AB337" s="1">
        <v>12.17</v>
      </c>
      <c r="AC337" s="1">
        <v>21</v>
      </c>
      <c r="AD337">
        <f>AB337*100/AC337</f>
        <v>57.952380952380949</v>
      </c>
      <c r="AK337" s="1">
        <v>80.8</v>
      </c>
      <c r="AL337" s="1">
        <v>53</v>
      </c>
      <c r="AM337" s="1">
        <v>27.6</v>
      </c>
      <c r="AQ337">
        <f t="shared" si="8"/>
        <v>1.9202898550724636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1</v>
      </c>
      <c r="BE337" s="1">
        <v>0</v>
      </c>
      <c r="BF337" s="1">
        <v>0</v>
      </c>
      <c r="BG337" s="1">
        <v>11</v>
      </c>
      <c r="BH337" s="1">
        <v>7559.11</v>
      </c>
      <c r="BI337" s="1">
        <v>0</v>
      </c>
      <c r="BJ337" s="1">
        <v>1</v>
      </c>
    </row>
    <row r="338" spans="1:62" x14ac:dyDescent="0.3">
      <c r="A338" s="1">
        <v>1</v>
      </c>
      <c r="B338">
        <v>337</v>
      </c>
      <c r="C338" s="1" t="s">
        <v>69</v>
      </c>
      <c r="D338">
        <v>0</v>
      </c>
      <c r="E338" s="6">
        <v>43005</v>
      </c>
      <c r="F338" s="1" t="s">
        <v>82</v>
      </c>
      <c r="G338" s="1">
        <v>0</v>
      </c>
      <c r="H338" s="1">
        <v>0</v>
      </c>
      <c r="I338" s="1">
        <v>3</v>
      </c>
      <c r="J338" s="1" t="s">
        <v>188</v>
      </c>
      <c r="K338" s="1">
        <v>24.97</v>
      </c>
      <c r="L338" s="1">
        <v>0</v>
      </c>
      <c r="M338" s="1">
        <v>1</v>
      </c>
      <c r="N338" s="1">
        <v>1</v>
      </c>
      <c r="O338" s="1">
        <v>0</v>
      </c>
      <c r="P338" s="1">
        <v>1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2</v>
      </c>
      <c r="AA338">
        <v>1.2089999999999999</v>
      </c>
      <c r="AK338" s="1">
        <v>73.7</v>
      </c>
      <c r="AL338" s="1">
        <v>36.299999999999997</v>
      </c>
      <c r="AM338" s="1">
        <v>31.3</v>
      </c>
      <c r="AN338" s="1">
        <v>1223</v>
      </c>
      <c r="AO338" s="1">
        <v>603</v>
      </c>
      <c r="AP338" s="1">
        <v>520</v>
      </c>
      <c r="AQ338">
        <f t="shared" si="8"/>
        <v>1.1597444089456868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33</v>
      </c>
      <c r="BH338" s="1">
        <v>34764.519999999997</v>
      </c>
      <c r="BI338" s="1">
        <v>0</v>
      </c>
      <c r="BJ338" s="1">
        <v>0</v>
      </c>
    </row>
    <row r="339" spans="1:62" x14ac:dyDescent="0.3">
      <c r="A339" s="1">
        <v>1</v>
      </c>
      <c r="B339" s="1">
        <v>338</v>
      </c>
      <c r="C339" s="1" t="s">
        <v>54</v>
      </c>
      <c r="D339">
        <v>0</v>
      </c>
      <c r="E339" s="6">
        <v>43128</v>
      </c>
      <c r="F339" s="1" t="s">
        <v>63</v>
      </c>
      <c r="G339" s="1">
        <v>0</v>
      </c>
      <c r="H339" s="1">
        <v>0</v>
      </c>
      <c r="I339" s="1">
        <v>2</v>
      </c>
      <c r="J339" s="1" t="s">
        <v>195</v>
      </c>
      <c r="K339" s="1">
        <v>21.6</v>
      </c>
      <c r="L339" s="1">
        <v>1</v>
      </c>
      <c r="M339" s="1">
        <v>1</v>
      </c>
      <c r="N339" s="1">
        <v>1</v>
      </c>
      <c r="O339" s="1">
        <v>0</v>
      </c>
      <c r="P339" s="1">
        <v>0</v>
      </c>
      <c r="Q339" s="1">
        <v>1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2</v>
      </c>
      <c r="AA339">
        <v>1.2353999999999998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1</v>
      </c>
      <c r="BE339" s="1">
        <v>0</v>
      </c>
      <c r="BF339" s="1">
        <v>0</v>
      </c>
      <c r="BG339" s="1">
        <v>12</v>
      </c>
      <c r="BH339" s="1">
        <v>13889.61</v>
      </c>
      <c r="BI339" s="1">
        <v>0</v>
      </c>
      <c r="BJ339" s="1">
        <v>0</v>
      </c>
    </row>
    <row r="340" spans="1:62" x14ac:dyDescent="0.3">
      <c r="A340" s="1">
        <v>1</v>
      </c>
      <c r="B340" s="1">
        <v>339</v>
      </c>
      <c r="C340" s="1" t="s">
        <v>54</v>
      </c>
      <c r="D340">
        <v>0</v>
      </c>
      <c r="E340" s="6">
        <v>43185</v>
      </c>
      <c r="F340" s="1" t="s">
        <v>52</v>
      </c>
      <c r="G340" s="1">
        <v>1</v>
      </c>
      <c r="H340" s="1">
        <v>1</v>
      </c>
      <c r="I340" s="1">
        <v>2</v>
      </c>
      <c r="J340" s="1" t="s">
        <v>192</v>
      </c>
      <c r="K340" s="1">
        <v>22.6</v>
      </c>
      <c r="L340" s="1">
        <v>2</v>
      </c>
      <c r="M340" s="1">
        <v>1</v>
      </c>
      <c r="N340" s="1">
        <v>1</v>
      </c>
      <c r="O340" s="1">
        <v>1</v>
      </c>
      <c r="P340" s="1">
        <v>0</v>
      </c>
      <c r="Q340" s="1">
        <v>1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2</v>
      </c>
      <c r="AA340">
        <v>0.3201</v>
      </c>
      <c r="AB340" s="1">
        <v>13.37</v>
      </c>
      <c r="AC340" s="1">
        <v>80</v>
      </c>
      <c r="AD340">
        <f>AB340*100/AC340</f>
        <v>16.712499999999999</v>
      </c>
      <c r="AE340" s="1">
        <v>5</v>
      </c>
      <c r="AF340" s="1">
        <v>1016</v>
      </c>
      <c r="AG340" s="1">
        <v>10</v>
      </c>
      <c r="AH340" s="1">
        <v>96.2</v>
      </c>
      <c r="AI340" s="1">
        <v>33.6</v>
      </c>
      <c r="AJ340" s="1">
        <v>9.19</v>
      </c>
      <c r="AK340" s="1">
        <v>72.400000000000006</v>
      </c>
      <c r="AL340" s="1">
        <v>36</v>
      </c>
      <c r="AM340" s="1">
        <v>30.8</v>
      </c>
      <c r="AN340" s="1">
        <v>333</v>
      </c>
      <c r="AO340" s="1">
        <v>166</v>
      </c>
      <c r="AP340" s="1">
        <v>142</v>
      </c>
      <c r="AQ340">
        <f>AL340/AM340</f>
        <v>1.1688311688311688</v>
      </c>
      <c r="AR340" s="1">
        <v>1</v>
      </c>
      <c r="AS340" s="1">
        <v>0</v>
      </c>
      <c r="AT340" s="1">
        <v>1</v>
      </c>
      <c r="AU340" s="1">
        <v>0</v>
      </c>
      <c r="AV340" s="1">
        <v>0</v>
      </c>
      <c r="AW340" s="1">
        <v>0</v>
      </c>
      <c r="AX340" s="1">
        <v>1</v>
      </c>
      <c r="AY340" s="1">
        <v>0</v>
      </c>
      <c r="AZ340" s="1">
        <v>0</v>
      </c>
      <c r="BA340" s="1">
        <v>0</v>
      </c>
      <c r="BB340" s="1">
        <v>1</v>
      </c>
      <c r="BC340" s="1">
        <v>0</v>
      </c>
      <c r="BD340" s="1">
        <v>3</v>
      </c>
      <c r="BE340" s="1">
        <v>3</v>
      </c>
      <c r="BF340" s="1">
        <v>1</v>
      </c>
      <c r="BG340" s="1">
        <v>57</v>
      </c>
      <c r="BH340" s="1">
        <v>581112.29</v>
      </c>
      <c r="BI340" s="1">
        <v>1</v>
      </c>
      <c r="BJ340" s="1">
        <v>1</v>
      </c>
    </row>
    <row r="341" spans="1:62" x14ac:dyDescent="0.3">
      <c r="A341" s="1">
        <v>1</v>
      </c>
      <c r="B341">
        <v>340</v>
      </c>
      <c r="C341" s="1" t="s">
        <v>74</v>
      </c>
      <c r="D341">
        <v>0</v>
      </c>
      <c r="E341" s="6">
        <v>43047</v>
      </c>
      <c r="F341" s="1" t="s">
        <v>52</v>
      </c>
      <c r="G341" s="1">
        <v>0</v>
      </c>
      <c r="H341" s="1">
        <v>1</v>
      </c>
      <c r="I341" s="1">
        <v>2</v>
      </c>
      <c r="J341" s="1" t="s">
        <v>192</v>
      </c>
      <c r="K341" s="1">
        <v>24.93</v>
      </c>
      <c r="L341" s="1">
        <v>0</v>
      </c>
      <c r="M341" s="1">
        <v>1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1</v>
      </c>
      <c r="W341" s="1">
        <v>0</v>
      </c>
      <c r="X341" s="1">
        <v>0</v>
      </c>
      <c r="Y341" s="1">
        <v>0</v>
      </c>
      <c r="Z341" s="1">
        <v>2</v>
      </c>
      <c r="AA341">
        <v>1.2988900000000001</v>
      </c>
      <c r="AB341" s="1">
        <v>14.11</v>
      </c>
      <c r="AC341" s="1">
        <v>33</v>
      </c>
      <c r="AD341">
        <f>AB341*100/AC341</f>
        <v>42.757575757575758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2</v>
      </c>
      <c r="BE341" s="1">
        <v>0</v>
      </c>
      <c r="BF341" s="1">
        <v>1</v>
      </c>
      <c r="BG341" s="1">
        <v>47</v>
      </c>
      <c r="BH341" s="1">
        <v>35526.61</v>
      </c>
      <c r="BI341" s="1">
        <v>0</v>
      </c>
      <c r="BJ341" s="1">
        <v>0</v>
      </c>
    </row>
    <row r="342" spans="1:62" x14ac:dyDescent="0.3">
      <c r="A342" s="1">
        <v>1</v>
      </c>
      <c r="B342" s="1">
        <v>341</v>
      </c>
      <c r="C342" s="1" t="s">
        <v>60</v>
      </c>
      <c r="D342">
        <v>0</v>
      </c>
      <c r="E342" s="6">
        <v>42938</v>
      </c>
      <c r="F342" s="1" t="s">
        <v>85</v>
      </c>
      <c r="G342" s="1">
        <v>0</v>
      </c>
      <c r="H342" s="1">
        <v>0</v>
      </c>
      <c r="I342" s="1">
        <v>1</v>
      </c>
      <c r="J342" s="1" t="s">
        <v>192</v>
      </c>
      <c r="K342" s="1">
        <v>21.26</v>
      </c>
      <c r="L342" s="1">
        <v>0</v>
      </c>
      <c r="M342" s="1">
        <v>0</v>
      </c>
      <c r="N342" s="1">
        <v>1</v>
      </c>
      <c r="O342" s="1">
        <v>0</v>
      </c>
      <c r="P342" s="1">
        <v>0</v>
      </c>
      <c r="Q342" s="1">
        <v>1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1</v>
      </c>
      <c r="Y342" s="1">
        <v>0</v>
      </c>
      <c r="Z342" s="1">
        <v>2</v>
      </c>
      <c r="AA342">
        <v>2.1503999999999999</v>
      </c>
      <c r="AK342" s="1">
        <v>70.7</v>
      </c>
      <c r="AL342" s="1">
        <v>58.7</v>
      </c>
      <c r="AM342" s="1">
        <v>9.9</v>
      </c>
      <c r="AN342" s="1">
        <v>1555</v>
      </c>
      <c r="AO342" s="1">
        <v>129.1</v>
      </c>
      <c r="AP342" s="1">
        <v>218</v>
      </c>
      <c r="AQ342">
        <f>AL342/AM342</f>
        <v>5.9292929292929291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2</v>
      </c>
      <c r="BE342" s="1">
        <v>0</v>
      </c>
      <c r="BF342" s="1">
        <v>0</v>
      </c>
      <c r="BG342" s="1">
        <v>14</v>
      </c>
      <c r="BH342" s="1">
        <v>17040.14</v>
      </c>
      <c r="BI342" s="1">
        <v>0</v>
      </c>
      <c r="BJ342" s="1">
        <v>0</v>
      </c>
    </row>
    <row r="343" spans="1:62" x14ac:dyDescent="0.3">
      <c r="A343" s="1">
        <v>1</v>
      </c>
      <c r="B343">
        <v>342</v>
      </c>
      <c r="C343" s="1" t="s">
        <v>54</v>
      </c>
      <c r="D343">
        <v>0</v>
      </c>
      <c r="E343" s="6">
        <v>42986</v>
      </c>
      <c r="F343" s="1" t="s">
        <v>85</v>
      </c>
      <c r="G343" s="1">
        <v>0</v>
      </c>
      <c r="H343" s="1">
        <v>0</v>
      </c>
      <c r="I343" s="1">
        <v>2</v>
      </c>
      <c r="J343" s="1" t="s">
        <v>192</v>
      </c>
      <c r="K343" s="1">
        <v>21.86</v>
      </c>
      <c r="L343" s="1">
        <v>0</v>
      </c>
      <c r="M343" s="1">
        <v>0</v>
      </c>
      <c r="N343" s="1">
        <v>1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1</v>
      </c>
      <c r="Y343" s="1">
        <v>0</v>
      </c>
      <c r="Z343" s="1">
        <v>2</v>
      </c>
      <c r="AA343">
        <v>0.87560000000000004</v>
      </c>
      <c r="AK343" s="1">
        <v>85.3</v>
      </c>
      <c r="AL343" s="1">
        <v>52.3</v>
      </c>
      <c r="AM343" s="1">
        <v>31.1</v>
      </c>
      <c r="AN343" s="1">
        <v>768</v>
      </c>
      <c r="AO343" s="1">
        <v>471</v>
      </c>
      <c r="AP343" s="1">
        <v>280</v>
      </c>
      <c r="AQ343">
        <f>AL343/AM343</f>
        <v>1.6816720257234725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2</v>
      </c>
      <c r="BE343" s="1">
        <v>0</v>
      </c>
      <c r="BF343" s="1">
        <v>0</v>
      </c>
      <c r="BG343" s="1">
        <v>10</v>
      </c>
      <c r="BH343" s="1">
        <v>35978.870000000003</v>
      </c>
      <c r="BI343" s="1">
        <v>0</v>
      </c>
      <c r="BJ343" s="1">
        <v>0</v>
      </c>
    </row>
    <row r="344" spans="1:62" x14ac:dyDescent="0.3">
      <c r="A344" s="1">
        <v>1</v>
      </c>
      <c r="B344" s="1">
        <v>343</v>
      </c>
      <c r="C344" s="1" t="s">
        <v>60</v>
      </c>
      <c r="D344">
        <v>0</v>
      </c>
      <c r="E344" s="6">
        <v>42212</v>
      </c>
      <c r="F344" s="1" t="s">
        <v>61</v>
      </c>
      <c r="G344" s="1">
        <v>0</v>
      </c>
      <c r="H344" s="1">
        <v>0</v>
      </c>
      <c r="I344" s="1">
        <v>2</v>
      </c>
      <c r="J344" s="1" t="s">
        <v>195</v>
      </c>
      <c r="K344" s="1">
        <v>23.5</v>
      </c>
      <c r="L344" s="1">
        <v>0</v>
      </c>
      <c r="M344" s="1">
        <v>1</v>
      </c>
      <c r="N344" s="1">
        <v>0</v>
      </c>
      <c r="O344" s="1">
        <v>0</v>
      </c>
      <c r="P344" s="1">
        <v>1</v>
      </c>
      <c r="Q344" s="1">
        <v>1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1</v>
      </c>
      <c r="Z344" s="1">
        <v>2</v>
      </c>
      <c r="AA344">
        <v>1.5076800000000004</v>
      </c>
      <c r="AB344" s="1">
        <v>17.21</v>
      </c>
      <c r="AC344" s="1">
        <v>33</v>
      </c>
      <c r="AD344">
        <f>AB344*100/AC344</f>
        <v>52.151515151515149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 s="1">
        <v>1</v>
      </c>
      <c r="BE344" s="1">
        <v>0</v>
      </c>
      <c r="BF344" s="1">
        <v>0</v>
      </c>
      <c r="BG344" s="1">
        <v>13</v>
      </c>
      <c r="BH344" s="1">
        <v>30506.69</v>
      </c>
      <c r="BI344" s="1">
        <v>1</v>
      </c>
      <c r="BJ344" s="1">
        <v>0</v>
      </c>
    </row>
    <row r="345" spans="1:62" x14ac:dyDescent="0.3">
      <c r="A345" s="1">
        <v>1</v>
      </c>
      <c r="B345" s="1">
        <v>344</v>
      </c>
      <c r="C345" s="1" t="s">
        <v>106</v>
      </c>
      <c r="D345">
        <v>1</v>
      </c>
      <c r="E345" s="6">
        <v>43150</v>
      </c>
      <c r="F345" s="1" t="s">
        <v>103</v>
      </c>
      <c r="G345" s="1">
        <v>0</v>
      </c>
      <c r="H345" s="1">
        <v>0</v>
      </c>
      <c r="I345" s="1">
        <v>3</v>
      </c>
      <c r="J345" s="1" t="s">
        <v>187</v>
      </c>
      <c r="K345" s="1">
        <v>21.19</v>
      </c>
      <c r="L345" s="1">
        <v>0</v>
      </c>
      <c r="M345" s="1">
        <v>1</v>
      </c>
      <c r="N345" s="1">
        <v>1</v>
      </c>
      <c r="O345" s="1">
        <v>0</v>
      </c>
      <c r="P345" s="1">
        <v>1</v>
      </c>
      <c r="Q345" s="1">
        <v>0</v>
      </c>
      <c r="R345" s="1">
        <v>1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2</v>
      </c>
      <c r="AA345">
        <v>0.62720000000000009</v>
      </c>
      <c r="AE345" s="1">
        <v>5</v>
      </c>
      <c r="AF345" s="1">
        <v>445</v>
      </c>
      <c r="AG345" s="1">
        <v>2</v>
      </c>
      <c r="AH345" s="1">
        <v>41.1</v>
      </c>
      <c r="AI345" s="1">
        <v>5</v>
      </c>
      <c r="AJ345" s="1">
        <v>14.2</v>
      </c>
      <c r="AK345" s="1">
        <v>93</v>
      </c>
      <c r="AL345" s="1">
        <v>45</v>
      </c>
      <c r="AM345" s="1">
        <v>45.8</v>
      </c>
      <c r="AN345" s="1">
        <v>558</v>
      </c>
      <c r="AO345" s="1">
        <v>270</v>
      </c>
      <c r="AP345" s="1">
        <v>275</v>
      </c>
      <c r="AQ345">
        <f>AL345/AM345</f>
        <v>0.98253275109170313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9</v>
      </c>
      <c r="BH345" s="1">
        <v>36001.839999999997</v>
      </c>
      <c r="BI345" s="1">
        <v>1</v>
      </c>
      <c r="BJ345" s="1">
        <v>0</v>
      </c>
    </row>
    <row r="346" spans="1:62" x14ac:dyDescent="0.3">
      <c r="A346" s="1">
        <v>2</v>
      </c>
      <c r="B346">
        <v>345</v>
      </c>
      <c r="C346" s="1" t="s">
        <v>92</v>
      </c>
      <c r="D346">
        <v>0</v>
      </c>
      <c r="E346" s="6">
        <v>43129</v>
      </c>
      <c r="F346" s="1" t="s">
        <v>61</v>
      </c>
      <c r="G346" s="1">
        <v>1</v>
      </c>
      <c r="H346" s="1">
        <v>1</v>
      </c>
      <c r="I346" s="1">
        <v>2</v>
      </c>
      <c r="J346" s="1" t="s">
        <v>194</v>
      </c>
      <c r="K346" s="1">
        <v>20.72</v>
      </c>
      <c r="L346" s="1">
        <v>1</v>
      </c>
      <c r="M346" s="1">
        <v>1</v>
      </c>
      <c r="N346" s="1">
        <v>1</v>
      </c>
      <c r="O346" s="1">
        <v>1</v>
      </c>
      <c r="P346" s="1">
        <v>1</v>
      </c>
      <c r="Q346" s="1">
        <v>1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</v>
      </c>
      <c r="AA346">
        <v>0.59510000000000007</v>
      </c>
      <c r="AB346" s="1">
        <v>12.28</v>
      </c>
      <c r="AC346" s="1">
        <v>60</v>
      </c>
      <c r="AD346">
        <f>AB346*100/AC346</f>
        <v>20.466666666666665</v>
      </c>
      <c r="AK346" s="1">
        <v>71.2</v>
      </c>
      <c r="AL346" s="1">
        <v>61</v>
      </c>
      <c r="AM346" s="1">
        <v>9.5</v>
      </c>
      <c r="AN346" s="1">
        <v>214</v>
      </c>
      <c r="AO346" s="1">
        <v>183</v>
      </c>
      <c r="AP346" s="1">
        <v>29</v>
      </c>
      <c r="AQ346">
        <f>AL346/AM346</f>
        <v>6.4210526315789478</v>
      </c>
      <c r="AR346" s="1">
        <v>1</v>
      </c>
      <c r="AS346" s="1">
        <v>1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4</v>
      </c>
      <c r="BE346" s="1">
        <v>3</v>
      </c>
      <c r="BF346" s="1">
        <v>1</v>
      </c>
      <c r="BG346" s="1">
        <v>23</v>
      </c>
      <c r="BH346" s="1">
        <v>118887.87</v>
      </c>
      <c r="BI346" s="1">
        <v>0</v>
      </c>
      <c r="BJ346" s="1">
        <v>0</v>
      </c>
    </row>
    <row r="347" spans="1:62" x14ac:dyDescent="0.3">
      <c r="A347">
        <v>1</v>
      </c>
      <c r="B347" s="1">
        <v>346</v>
      </c>
      <c r="C347" t="s">
        <v>60</v>
      </c>
      <c r="D347">
        <v>0</v>
      </c>
      <c r="E347" s="2" t="s">
        <v>161</v>
      </c>
      <c r="F347" s="4" t="s">
        <v>53</v>
      </c>
      <c r="G347" s="1">
        <v>0</v>
      </c>
      <c r="H347" s="1">
        <v>1</v>
      </c>
      <c r="I347" s="1">
        <v>2</v>
      </c>
      <c r="J347" s="1" t="s">
        <v>195</v>
      </c>
      <c r="K347" s="1">
        <v>22.89</v>
      </c>
      <c r="L347" s="1">
        <v>0</v>
      </c>
      <c r="M347" s="1">
        <v>1</v>
      </c>
      <c r="N347" s="1">
        <v>1</v>
      </c>
      <c r="O347" s="1">
        <v>0</v>
      </c>
      <c r="P347" s="1">
        <v>1</v>
      </c>
      <c r="Q347" s="1">
        <v>1</v>
      </c>
      <c r="R347" s="1">
        <v>1</v>
      </c>
      <c r="S347" s="1">
        <v>0</v>
      </c>
      <c r="T347" s="1">
        <v>0</v>
      </c>
      <c r="U347" s="1">
        <v>0</v>
      </c>
      <c r="V347" s="1">
        <v>1</v>
      </c>
      <c r="W347" s="1">
        <v>0</v>
      </c>
      <c r="X347" s="1">
        <v>1</v>
      </c>
      <c r="Y347" s="1">
        <v>0</v>
      </c>
      <c r="Z347" s="1">
        <v>2</v>
      </c>
      <c r="AA347" s="1">
        <v>0.94</v>
      </c>
      <c r="AB347" s="1">
        <v>23.89</v>
      </c>
      <c r="AC347" s="1">
        <v>50</v>
      </c>
      <c r="AD347">
        <f>AB347*100/AC347</f>
        <v>47.78</v>
      </c>
      <c r="AK347">
        <v>73.099999999999994</v>
      </c>
      <c r="AL347">
        <v>53.3</v>
      </c>
      <c r="AM347">
        <v>22</v>
      </c>
      <c r="AQ347">
        <f>AL347/AM347</f>
        <v>2.4227272727272724</v>
      </c>
      <c r="AR347">
        <v>1</v>
      </c>
      <c r="AS347">
        <v>0</v>
      </c>
      <c r="AT347">
        <v>0</v>
      </c>
      <c r="AU347">
        <v>0</v>
      </c>
      <c r="AV347">
        <v>0</v>
      </c>
      <c r="AW347">
        <v>1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2</v>
      </c>
      <c r="BE347" s="1">
        <v>1</v>
      </c>
      <c r="BF347" s="1">
        <v>0</v>
      </c>
      <c r="BG347" s="1">
        <v>14</v>
      </c>
      <c r="BH347">
        <f>9856.27+56.8+11910+2935+1678+834+812+1270+700+104.49</f>
        <v>30156.560000000001</v>
      </c>
      <c r="BI347" s="1">
        <v>1</v>
      </c>
      <c r="BJ347" s="1">
        <v>1</v>
      </c>
    </row>
    <row r="348" spans="1:62" x14ac:dyDescent="0.3">
      <c r="A348" s="1">
        <v>1</v>
      </c>
      <c r="B348">
        <v>347</v>
      </c>
      <c r="C348" s="1" t="s">
        <v>71</v>
      </c>
      <c r="D348">
        <v>0</v>
      </c>
      <c r="E348" s="6">
        <v>42418</v>
      </c>
      <c r="F348" s="1" t="s">
        <v>72</v>
      </c>
      <c r="G348" s="1">
        <v>0</v>
      </c>
      <c r="H348" s="1">
        <v>0</v>
      </c>
      <c r="I348" s="1">
        <v>3</v>
      </c>
      <c r="J348" s="1" t="s">
        <v>184</v>
      </c>
      <c r="K348" s="1">
        <v>22.64</v>
      </c>
      <c r="L348" s="1">
        <v>1</v>
      </c>
      <c r="M348" s="1">
        <v>1</v>
      </c>
      <c r="N348" s="1">
        <v>1</v>
      </c>
      <c r="O348" s="1">
        <v>0</v>
      </c>
      <c r="P348" s="1">
        <v>1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2</v>
      </c>
      <c r="AA348">
        <v>1.7783999999999998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21</v>
      </c>
      <c r="BH348" s="1">
        <v>36274.07</v>
      </c>
      <c r="BI348" s="1">
        <v>0</v>
      </c>
      <c r="BJ348" s="1">
        <v>0</v>
      </c>
    </row>
    <row r="349" spans="1:62" x14ac:dyDescent="0.3">
      <c r="A349" s="1">
        <v>1</v>
      </c>
      <c r="B349" s="1">
        <v>348</v>
      </c>
      <c r="C349" s="1" t="s">
        <v>69</v>
      </c>
      <c r="D349">
        <v>0</v>
      </c>
      <c r="E349" s="6">
        <v>43076</v>
      </c>
      <c r="F349" s="1" t="s">
        <v>53</v>
      </c>
      <c r="G349" s="1">
        <v>1</v>
      </c>
      <c r="H349" s="1">
        <v>1</v>
      </c>
      <c r="I349" s="1">
        <v>2</v>
      </c>
      <c r="J349" s="1" t="s">
        <v>192</v>
      </c>
      <c r="K349" s="1">
        <v>13.84</v>
      </c>
      <c r="L349" s="1">
        <v>2</v>
      </c>
      <c r="M349" s="1">
        <v>1</v>
      </c>
      <c r="N349" s="1">
        <v>1</v>
      </c>
      <c r="O349" s="1">
        <v>1</v>
      </c>
      <c r="P349" s="1">
        <v>1</v>
      </c>
      <c r="Q349" s="1">
        <v>0</v>
      </c>
      <c r="R349" s="1">
        <v>0</v>
      </c>
      <c r="S349" s="1">
        <v>0</v>
      </c>
      <c r="T349" s="1">
        <v>1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2</v>
      </c>
      <c r="AA349">
        <v>0.79020999999999997</v>
      </c>
      <c r="AB349" s="1">
        <v>9.73</v>
      </c>
      <c r="AC349" s="1">
        <v>21</v>
      </c>
      <c r="AD349">
        <f>AB349*100/AC349</f>
        <v>46.333333333333336</v>
      </c>
      <c r="AK349" s="1">
        <v>76.3</v>
      </c>
      <c r="AL349" s="1">
        <v>63.7</v>
      </c>
      <c r="AM349" s="1">
        <v>12.4</v>
      </c>
      <c r="AN349" s="1">
        <v>702</v>
      </c>
      <c r="AO349" s="1">
        <v>586</v>
      </c>
      <c r="AP349" s="1">
        <v>114</v>
      </c>
      <c r="AQ349">
        <f>AL349/AM349</f>
        <v>5.137096774193548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1</v>
      </c>
      <c r="BC349" s="1">
        <v>0</v>
      </c>
      <c r="BD349" s="1">
        <v>3</v>
      </c>
      <c r="BE349" s="1">
        <v>1</v>
      </c>
      <c r="BF349" s="1">
        <v>0</v>
      </c>
      <c r="BG349" s="1">
        <v>5</v>
      </c>
      <c r="BH349" s="1">
        <v>36411.760000000002</v>
      </c>
      <c r="BI349" s="1">
        <v>0</v>
      </c>
      <c r="BJ349" s="1">
        <v>1</v>
      </c>
    </row>
    <row r="350" spans="1:62" x14ac:dyDescent="0.3">
      <c r="A350" s="1">
        <v>1</v>
      </c>
      <c r="B350" s="1">
        <v>349</v>
      </c>
      <c r="C350" s="1" t="s">
        <v>74</v>
      </c>
      <c r="D350">
        <v>0</v>
      </c>
      <c r="E350" s="6">
        <v>43031</v>
      </c>
      <c r="F350" s="1" t="s">
        <v>64</v>
      </c>
      <c r="G350" s="1">
        <v>0</v>
      </c>
      <c r="H350" s="1">
        <v>0</v>
      </c>
      <c r="I350" s="1">
        <v>3</v>
      </c>
      <c r="J350" s="1" t="s">
        <v>192</v>
      </c>
      <c r="K350" s="1">
        <v>19.03</v>
      </c>
      <c r="L350" s="1">
        <v>1</v>
      </c>
      <c r="M350" s="1">
        <v>1</v>
      </c>
      <c r="N350" s="1">
        <v>1</v>
      </c>
      <c r="O350" s="1">
        <v>1</v>
      </c>
      <c r="P350" s="1">
        <v>1</v>
      </c>
      <c r="Q350" s="1">
        <v>0</v>
      </c>
      <c r="R350" s="1">
        <v>1</v>
      </c>
      <c r="S350" s="1">
        <v>0</v>
      </c>
      <c r="T350" s="1">
        <v>1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2</v>
      </c>
      <c r="AA350">
        <v>1.41934</v>
      </c>
      <c r="AB350" s="1">
        <v>9.9499999999999993</v>
      </c>
      <c r="AC350" s="1">
        <v>21</v>
      </c>
      <c r="AD350">
        <f>AB350*100/AC350</f>
        <v>47.380952380952372</v>
      </c>
      <c r="AK350" s="1">
        <v>75.099999999999994</v>
      </c>
      <c r="AL350" s="1">
        <v>38.9</v>
      </c>
      <c r="AM350" s="1">
        <v>38</v>
      </c>
      <c r="AQ350">
        <f>AL350/AM350</f>
        <v>1.0236842105263158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1</v>
      </c>
      <c r="BE350" s="1">
        <v>0</v>
      </c>
      <c r="BF350" s="1">
        <v>0</v>
      </c>
      <c r="BG350" s="1">
        <v>25</v>
      </c>
      <c r="BH350">
        <f>8581.98+20343.92+2925+771+70+1249+794+936+736+487.5+94.5</f>
        <v>36988.899999999994</v>
      </c>
      <c r="BI350" s="1">
        <v>0</v>
      </c>
      <c r="BJ350" s="1">
        <v>0</v>
      </c>
    </row>
    <row r="351" spans="1:62" x14ac:dyDescent="0.3">
      <c r="A351" s="1">
        <v>1</v>
      </c>
      <c r="B351">
        <v>350</v>
      </c>
      <c r="C351" s="1" t="s">
        <v>54</v>
      </c>
      <c r="D351">
        <v>0</v>
      </c>
      <c r="E351" s="6">
        <v>42875</v>
      </c>
      <c r="F351" s="1" t="s">
        <v>52</v>
      </c>
      <c r="G351" s="1">
        <v>0</v>
      </c>
      <c r="H351" s="1">
        <v>1</v>
      </c>
      <c r="I351" s="1">
        <v>2</v>
      </c>
      <c r="J351" s="1" t="s">
        <v>192</v>
      </c>
      <c r="K351" s="1">
        <v>16.02</v>
      </c>
      <c r="L351" s="1">
        <v>1</v>
      </c>
      <c r="M351" s="1">
        <v>1</v>
      </c>
      <c r="N351" s="1">
        <v>1</v>
      </c>
      <c r="O351" s="1">
        <v>0</v>
      </c>
      <c r="P351" s="1">
        <v>1</v>
      </c>
      <c r="Q351" s="1">
        <v>0</v>
      </c>
      <c r="R351" s="1">
        <v>0</v>
      </c>
      <c r="S351" s="1">
        <v>0</v>
      </c>
      <c r="T351" s="1">
        <v>0</v>
      </c>
      <c r="U351" s="1">
        <v>1</v>
      </c>
      <c r="V351" s="1">
        <v>0</v>
      </c>
      <c r="W351" s="1">
        <v>0</v>
      </c>
      <c r="X351" s="1">
        <v>0</v>
      </c>
      <c r="Y351" s="1">
        <v>1</v>
      </c>
      <c r="Z351" s="1">
        <v>2</v>
      </c>
      <c r="AA351">
        <v>0.72405999999999993</v>
      </c>
      <c r="AB351" s="1">
        <v>9.66</v>
      </c>
      <c r="AC351" s="1">
        <v>21</v>
      </c>
      <c r="AD351">
        <f>AB351*100/AC351</f>
        <v>46</v>
      </c>
      <c r="AE351" s="1">
        <v>5</v>
      </c>
      <c r="AF351" s="1">
        <v>1685</v>
      </c>
      <c r="AG351" s="1">
        <v>4.79</v>
      </c>
      <c r="AH351" s="1">
        <v>257</v>
      </c>
      <c r="AI351" s="1">
        <v>18.399999999999999</v>
      </c>
      <c r="AJ351" s="1">
        <v>6.75</v>
      </c>
      <c r="AK351" s="1">
        <v>56.9</v>
      </c>
      <c r="AL351" s="1">
        <v>22.1</v>
      </c>
      <c r="AM351" s="1">
        <v>33.799999999999997</v>
      </c>
      <c r="AN351" s="1">
        <v>410</v>
      </c>
      <c r="AO351" s="1">
        <v>159</v>
      </c>
      <c r="AP351" s="1">
        <v>243</v>
      </c>
      <c r="AQ351">
        <f>AL351/AM351</f>
        <v>0.65384615384615397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2</v>
      </c>
      <c r="BE351" s="1">
        <v>1</v>
      </c>
      <c r="BF351" s="1">
        <v>1</v>
      </c>
      <c r="BG351" s="1">
        <v>14</v>
      </c>
      <c r="BH351" s="1">
        <v>37231.11</v>
      </c>
      <c r="BI351" s="1">
        <v>0</v>
      </c>
      <c r="BJ351" s="1">
        <v>1</v>
      </c>
    </row>
    <row r="352" spans="1:62" x14ac:dyDescent="0.3">
      <c r="A352">
        <v>1</v>
      </c>
      <c r="B352" s="1">
        <v>351</v>
      </c>
      <c r="C352" t="s">
        <v>69</v>
      </c>
      <c r="D352">
        <v>0</v>
      </c>
      <c r="E352" s="2">
        <v>43490</v>
      </c>
      <c r="F352" t="s">
        <v>56</v>
      </c>
      <c r="G352" s="1">
        <v>0</v>
      </c>
      <c r="H352" s="1">
        <v>0</v>
      </c>
      <c r="I352" s="1">
        <v>2</v>
      </c>
      <c r="J352" s="1" t="s">
        <v>191</v>
      </c>
      <c r="K352" s="1">
        <v>31.8</v>
      </c>
      <c r="L352" s="1">
        <v>0</v>
      </c>
      <c r="M352" s="1">
        <v>1</v>
      </c>
      <c r="N352" s="1">
        <v>1</v>
      </c>
      <c r="O352" s="1">
        <v>0</v>
      </c>
      <c r="P352" s="1">
        <v>1</v>
      </c>
      <c r="Q352" s="1">
        <v>1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1</v>
      </c>
      <c r="AA352" s="1">
        <v>3.09</v>
      </c>
      <c r="AK352">
        <v>68.3</v>
      </c>
      <c r="AL352">
        <v>54.3</v>
      </c>
      <c r="AM352">
        <v>11.9</v>
      </c>
      <c r="AN352">
        <v>1605</v>
      </c>
      <c r="AO352">
        <v>1276</v>
      </c>
      <c r="AP352">
        <v>280</v>
      </c>
      <c r="AQ352">
        <f>AL352/AM352</f>
        <v>4.5630252100840334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1</v>
      </c>
      <c r="BC352">
        <v>0</v>
      </c>
      <c r="BD352">
        <v>0</v>
      </c>
      <c r="BE352" s="1">
        <v>0</v>
      </c>
      <c r="BF352" s="1">
        <v>0</v>
      </c>
      <c r="BG352" s="1">
        <v>6</v>
      </c>
      <c r="BH352">
        <f>415.05+4452+4145+70+50+14+348+252+300+625.28</f>
        <v>10671.33</v>
      </c>
      <c r="BI352" s="1">
        <v>0</v>
      </c>
      <c r="BJ352" s="1">
        <v>0</v>
      </c>
    </row>
    <row r="353" spans="1:62" x14ac:dyDescent="0.3">
      <c r="A353">
        <v>1</v>
      </c>
      <c r="B353">
        <v>352</v>
      </c>
      <c r="C353" s="1" t="s">
        <v>60</v>
      </c>
      <c r="D353">
        <v>0</v>
      </c>
      <c r="E353" s="2">
        <v>43495</v>
      </c>
      <c r="F353" t="s">
        <v>121</v>
      </c>
      <c r="G353" s="1">
        <v>0</v>
      </c>
      <c r="H353" s="1">
        <v>0</v>
      </c>
      <c r="I353" s="1">
        <v>2</v>
      </c>
      <c r="J353" s="1" t="s">
        <v>197</v>
      </c>
      <c r="K353" s="1">
        <v>24.92</v>
      </c>
      <c r="L353" s="1">
        <v>0</v>
      </c>
      <c r="M353" s="1">
        <v>0</v>
      </c>
      <c r="N353" s="1">
        <v>0</v>
      </c>
      <c r="O353" s="1">
        <v>1</v>
      </c>
      <c r="P353" s="1">
        <v>1</v>
      </c>
      <c r="Q353" s="1">
        <v>1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1</v>
      </c>
      <c r="Z353" s="1">
        <v>1</v>
      </c>
      <c r="AA353" s="1">
        <v>0.61</v>
      </c>
      <c r="AB353" s="1">
        <v>9.9499999999999993</v>
      </c>
      <c r="AC353" s="1">
        <v>33</v>
      </c>
      <c r="AD353">
        <f>AB353*100/AC353</f>
        <v>30.151515151515149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2</v>
      </c>
      <c r="BE353" s="1">
        <v>0</v>
      </c>
      <c r="BF353" s="1">
        <v>0</v>
      </c>
      <c r="BG353" s="1">
        <v>26</v>
      </c>
      <c r="BH353">
        <f>16319.64+513.25+12797+2501+582+341+2600+1092+1300+85.47</f>
        <v>38131.360000000001</v>
      </c>
      <c r="BI353" s="1">
        <v>1</v>
      </c>
      <c r="BJ353" s="1">
        <v>1</v>
      </c>
    </row>
    <row r="354" spans="1:62" x14ac:dyDescent="0.3">
      <c r="A354" s="1">
        <v>1</v>
      </c>
      <c r="B354" s="1">
        <v>353</v>
      </c>
      <c r="C354" s="1" t="s">
        <v>54</v>
      </c>
      <c r="D354">
        <v>0</v>
      </c>
      <c r="E354" s="6">
        <v>42371</v>
      </c>
      <c r="F354" s="1" t="s">
        <v>53</v>
      </c>
      <c r="G354" s="1">
        <v>1</v>
      </c>
      <c r="H354" s="1">
        <v>1</v>
      </c>
      <c r="I354" s="1">
        <v>2</v>
      </c>
      <c r="J354" s="1" t="s">
        <v>191</v>
      </c>
      <c r="K354" s="1">
        <v>19.489999999999998</v>
      </c>
      <c r="L354" s="1">
        <v>1</v>
      </c>
      <c r="M354" s="1">
        <v>1</v>
      </c>
      <c r="N354" s="1">
        <v>1</v>
      </c>
      <c r="O354" s="1">
        <v>0</v>
      </c>
      <c r="P354" s="1">
        <v>1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2</v>
      </c>
      <c r="AA354">
        <v>0.19109999999999999</v>
      </c>
      <c r="AB354" s="1">
        <v>10.71</v>
      </c>
      <c r="AC354" s="1">
        <v>33</v>
      </c>
      <c r="AD354">
        <f>AB354*100/AC354</f>
        <v>32.454545454545453</v>
      </c>
      <c r="AK354" s="1">
        <v>79.900000000000006</v>
      </c>
      <c r="AL354" s="1">
        <v>3.3</v>
      </c>
      <c r="AM354" s="1">
        <v>73.5</v>
      </c>
      <c r="AQ354">
        <f>AL354/AM354</f>
        <v>4.4897959183673466E-2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 s="1">
        <v>1</v>
      </c>
      <c r="BE354" s="1">
        <v>1</v>
      </c>
      <c r="BF354" s="1">
        <v>1</v>
      </c>
      <c r="BG354" s="1">
        <v>17</v>
      </c>
      <c r="BH354" s="1">
        <v>37899.339999999997</v>
      </c>
      <c r="BI354" s="1">
        <v>0</v>
      </c>
      <c r="BJ354" s="1">
        <v>1</v>
      </c>
    </row>
    <row r="355" spans="1:62" x14ac:dyDescent="0.3">
      <c r="A355" s="1">
        <v>1</v>
      </c>
      <c r="B355" s="1">
        <v>354</v>
      </c>
      <c r="C355" s="1" t="s">
        <v>69</v>
      </c>
      <c r="D355">
        <v>0</v>
      </c>
      <c r="E355" s="6">
        <v>42406</v>
      </c>
      <c r="F355" s="1" t="s">
        <v>64</v>
      </c>
      <c r="G355" s="1">
        <v>0</v>
      </c>
      <c r="H355" s="1">
        <v>0</v>
      </c>
      <c r="I355" s="1">
        <v>2</v>
      </c>
      <c r="J355" s="1" t="s">
        <v>196</v>
      </c>
      <c r="K355" s="1">
        <v>26.64</v>
      </c>
      <c r="L355" s="1">
        <v>0</v>
      </c>
      <c r="M355" s="1">
        <v>1</v>
      </c>
      <c r="N355" s="1">
        <v>1</v>
      </c>
      <c r="O355" s="1">
        <v>1</v>
      </c>
      <c r="P355" s="1">
        <v>1</v>
      </c>
      <c r="Q355" s="1">
        <v>1</v>
      </c>
      <c r="R355" s="1">
        <v>1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2</v>
      </c>
      <c r="AA355">
        <v>2.9336000000000002</v>
      </c>
      <c r="AB355" s="1">
        <v>12.1</v>
      </c>
      <c r="AC355" s="1">
        <v>21</v>
      </c>
      <c r="AD355">
        <f>AB355*100/AC355</f>
        <v>57.61904761904762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1</v>
      </c>
      <c r="BE355" s="1">
        <v>0</v>
      </c>
      <c r="BF355" s="1">
        <v>0</v>
      </c>
      <c r="BG355" s="1">
        <v>18</v>
      </c>
      <c r="BH355" s="1">
        <v>17116.54</v>
      </c>
      <c r="BI355" s="1">
        <v>0</v>
      </c>
      <c r="BJ355" s="1">
        <v>0</v>
      </c>
    </row>
    <row r="356" spans="1:62" x14ac:dyDescent="0.3">
      <c r="A356" s="1">
        <v>1</v>
      </c>
      <c r="B356">
        <v>355</v>
      </c>
      <c r="C356" s="1" t="s">
        <v>57</v>
      </c>
      <c r="D356">
        <v>0</v>
      </c>
      <c r="E356" s="6">
        <v>42816</v>
      </c>
      <c r="F356" s="1" t="s">
        <v>53</v>
      </c>
      <c r="G356" s="1">
        <v>0</v>
      </c>
      <c r="H356" s="1">
        <v>0</v>
      </c>
      <c r="I356" s="1">
        <v>2</v>
      </c>
      <c r="J356" s="1" t="s">
        <v>193</v>
      </c>
      <c r="K356" s="1">
        <v>29.33</v>
      </c>
      <c r="L356" s="1">
        <v>0</v>
      </c>
      <c r="M356" s="1">
        <v>1</v>
      </c>
      <c r="N356" s="1">
        <v>1</v>
      </c>
      <c r="O356" s="1">
        <v>0</v>
      </c>
      <c r="P356" s="1">
        <v>1</v>
      </c>
      <c r="Q356" s="1">
        <v>1</v>
      </c>
      <c r="R356" s="1">
        <v>0</v>
      </c>
      <c r="S356" s="1">
        <v>1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1</v>
      </c>
      <c r="AA356">
        <v>1.5809600000000001</v>
      </c>
      <c r="AB356" s="1">
        <v>9.43</v>
      </c>
      <c r="AC356" s="1">
        <v>21</v>
      </c>
      <c r="AD356">
        <f>AB356*100/AC356</f>
        <v>44.904761904761905</v>
      </c>
      <c r="AK356" s="1">
        <v>61.3</v>
      </c>
      <c r="AL356" s="1">
        <v>36.4</v>
      </c>
      <c r="AM356" s="1">
        <v>23.8</v>
      </c>
      <c r="AQ356">
        <f>AL356/AM356</f>
        <v>1.5294117647058822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1</v>
      </c>
      <c r="BE356" s="1">
        <v>0</v>
      </c>
      <c r="BF356" s="1">
        <v>0</v>
      </c>
      <c r="BG356" s="1">
        <v>5</v>
      </c>
      <c r="BH356" s="1">
        <v>7489.06</v>
      </c>
      <c r="BI356" s="1">
        <v>0</v>
      </c>
      <c r="BJ356" s="1">
        <v>0</v>
      </c>
    </row>
    <row r="357" spans="1:62" x14ac:dyDescent="0.3">
      <c r="A357">
        <v>1</v>
      </c>
      <c r="B357" s="1">
        <v>356</v>
      </c>
      <c r="C357" s="1" t="s">
        <v>60</v>
      </c>
      <c r="D357">
        <v>0</v>
      </c>
      <c r="E357" s="2">
        <v>43489</v>
      </c>
      <c r="F357" t="s">
        <v>56</v>
      </c>
      <c r="G357" s="1">
        <v>0</v>
      </c>
      <c r="H357" s="1">
        <v>0</v>
      </c>
      <c r="I357" s="1">
        <v>3</v>
      </c>
      <c r="J357" s="1" t="s">
        <v>190</v>
      </c>
      <c r="K357" s="1">
        <v>21.22</v>
      </c>
      <c r="L357" s="1">
        <v>1</v>
      </c>
      <c r="M357" s="1">
        <v>0</v>
      </c>
      <c r="N357" s="1">
        <v>0</v>
      </c>
      <c r="O357" s="1">
        <v>1</v>
      </c>
      <c r="P357" s="1">
        <v>1</v>
      </c>
      <c r="Q357" s="1">
        <v>0</v>
      </c>
      <c r="R357" s="1">
        <v>0</v>
      </c>
      <c r="S357" s="1">
        <v>0</v>
      </c>
      <c r="T357" s="1">
        <v>0</v>
      </c>
      <c r="U357" s="1">
        <v>1</v>
      </c>
      <c r="V357" s="1">
        <v>0</v>
      </c>
      <c r="W357" s="1">
        <v>0</v>
      </c>
      <c r="X357" s="1">
        <v>0</v>
      </c>
      <c r="Y357" s="1">
        <v>0</v>
      </c>
      <c r="Z357" s="1">
        <v>1</v>
      </c>
      <c r="AA357" s="1">
        <v>1.55</v>
      </c>
      <c r="AB357" s="1">
        <v>9.24</v>
      </c>
      <c r="AC357" s="1">
        <v>21</v>
      </c>
      <c r="AD357">
        <f>AB357*100/AC357</f>
        <v>44</v>
      </c>
      <c r="AK357">
        <v>75.099999999999994</v>
      </c>
      <c r="AL357">
        <v>46.7</v>
      </c>
      <c r="AM357">
        <v>29.2</v>
      </c>
      <c r="AN357">
        <v>1179</v>
      </c>
      <c r="AO357">
        <v>733</v>
      </c>
      <c r="AP357">
        <v>458</v>
      </c>
      <c r="AQ357">
        <f>AL357/AM357</f>
        <v>1.5993150684931507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1</v>
      </c>
      <c r="BE357" s="1">
        <v>0</v>
      </c>
      <c r="BF357" s="1">
        <v>0</v>
      </c>
      <c r="BG357" s="1">
        <v>26</v>
      </c>
      <c r="BH357">
        <f>19744.21+114.24+9314+3086+70+441+960+1537+1113+1325+528.68</f>
        <v>38233.129999999997</v>
      </c>
      <c r="BI357" s="1">
        <v>0</v>
      </c>
      <c r="BJ357" s="1">
        <v>0</v>
      </c>
    </row>
    <row r="358" spans="1:62" x14ac:dyDescent="0.3">
      <c r="A358">
        <v>1</v>
      </c>
      <c r="B358">
        <v>357</v>
      </c>
      <c r="C358" t="s">
        <v>69</v>
      </c>
      <c r="D358">
        <v>0</v>
      </c>
      <c r="E358" s="2">
        <v>43486</v>
      </c>
      <c r="F358" t="s">
        <v>121</v>
      </c>
      <c r="G358" s="1">
        <v>0</v>
      </c>
      <c r="H358" s="1">
        <v>0</v>
      </c>
      <c r="I358" s="1">
        <v>2</v>
      </c>
      <c r="J358" s="1" t="s">
        <v>192</v>
      </c>
      <c r="K358" s="1">
        <v>21.46</v>
      </c>
      <c r="L358" s="1">
        <v>0</v>
      </c>
      <c r="M358" s="1">
        <v>1</v>
      </c>
      <c r="N358" s="1">
        <v>1</v>
      </c>
      <c r="O358" s="1">
        <v>0</v>
      </c>
      <c r="P358" s="1">
        <v>1</v>
      </c>
      <c r="Q358" s="1">
        <v>1</v>
      </c>
      <c r="R358" s="1">
        <v>1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1</v>
      </c>
      <c r="AA358" s="3">
        <f>4.36*0.183</f>
        <v>0.79788000000000003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1</v>
      </c>
      <c r="BE358" s="1">
        <v>0</v>
      </c>
      <c r="BF358" s="1">
        <v>0</v>
      </c>
      <c r="BG358" s="1">
        <v>9</v>
      </c>
      <c r="BH358">
        <f>4543.76+332.5+3953+722+116+900+378+450+66.15</f>
        <v>11461.41</v>
      </c>
      <c r="BI358" s="1">
        <v>0</v>
      </c>
      <c r="BJ358" s="1">
        <v>0</v>
      </c>
    </row>
    <row r="359" spans="1:62" x14ac:dyDescent="0.3">
      <c r="A359" s="1">
        <v>1</v>
      </c>
      <c r="B359" s="1">
        <v>358</v>
      </c>
      <c r="C359" s="1" t="s">
        <v>60</v>
      </c>
      <c r="D359">
        <v>0</v>
      </c>
      <c r="E359" s="6">
        <v>42907</v>
      </c>
      <c r="F359" s="1" t="s">
        <v>85</v>
      </c>
      <c r="G359" s="1">
        <v>0</v>
      </c>
      <c r="H359" s="1">
        <v>0</v>
      </c>
      <c r="I359" s="1">
        <v>2</v>
      </c>
      <c r="J359" s="1" t="s">
        <v>189</v>
      </c>
      <c r="K359" s="1">
        <v>26.56</v>
      </c>
      <c r="L359" s="1">
        <v>0</v>
      </c>
      <c r="M359" s="1">
        <v>0</v>
      </c>
      <c r="N359" s="1">
        <v>1</v>
      </c>
      <c r="O359" s="1">
        <v>0</v>
      </c>
      <c r="P359" s="1">
        <v>0</v>
      </c>
      <c r="Q359" s="1">
        <v>1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1</v>
      </c>
      <c r="X359" s="1">
        <v>0</v>
      </c>
      <c r="Y359" s="1">
        <v>0</v>
      </c>
      <c r="Z359" s="1">
        <v>1</v>
      </c>
      <c r="AA359">
        <v>2.556</v>
      </c>
      <c r="AK359" s="1">
        <v>79.8</v>
      </c>
      <c r="AL359" s="1">
        <v>56.9</v>
      </c>
      <c r="AM359" s="1">
        <v>21</v>
      </c>
      <c r="AN359" s="1">
        <v>1899</v>
      </c>
      <c r="AO359" s="1">
        <v>135.4</v>
      </c>
      <c r="AP359" s="1">
        <v>500</v>
      </c>
      <c r="AQ359">
        <f>AL359/AM359</f>
        <v>2.7095238095238097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15</v>
      </c>
      <c r="BH359" s="1">
        <v>18945.080000000002</v>
      </c>
      <c r="BI359" s="1">
        <v>0</v>
      </c>
      <c r="BJ359" s="1">
        <v>0</v>
      </c>
    </row>
    <row r="360" spans="1:62" x14ac:dyDescent="0.3">
      <c r="A360">
        <v>1</v>
      </c>
      <c r="B360" s="1">
        <v>359</v>
      </c>
      <c r="C360" s="1" t="s">
        <v>60</v>
      </c>
      <c r="D360">
        <v>0</v>
      </c>
      <c r="E360" s="2">
        <v>43523</v>
      </c>
      <c r="F360" t="s">
        <v>53</v>
      </c>
      <c r="G360" s="1">
        <v>0</v>
      </c>
      <c r="H360" s="1">
        <v>0</v>
      </c>
      <c r="I360" s="1">
        <v>1</v>
      </c>
      <c r="J360" s="1" t="s">
        <v>184</v>
      </c>
      <c r="K360" s="1">
        <v>30.86</v>
      </c>
      <c r="L360" s="1">
        <v>0</v>
      </c>
      <c r="M360" s="1">
        <v>1</v>
      </c>
      <c r="N360" s="1">
        <v>1</v>
      </c>
      <c r="O360" s="1">
        <v>1</v>
      </c>
      <c r="P360" s="1">
        <v>0</v>
      </c>
      <c r="Q360" s="1">
        <v>0</v>
      </c>
      <c r="R360" s="1">
        <v>0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1</v>
      </c>
      <c r="AA360">
        <f>11.16*0.11</f>
        <v>1.2276</v>
      </c>
      <c r="AB360" s="1">
        <v>9.86</v>
      </c>
      <c r="AC360" s="1">
        <v>21</v>
      </c>
      <c r="AD360">
        <f>AB360*100/AC360</f>
        <v>46.952380952380949</v>
      </c>
      <c r="AK360">
        <v>76.2</v>
      </c>
      <c r="AL360">
        <v>43.7</v>
      </c>
      <c r="AM360">
        <v>31.9</v>
      </c>
      <c r="AN360">
        <v>2530</v>
      </c>
      <c r="AO360">
        <v>1451</v>
      </c>
      <c r="AP360">
        <v>1059</v>
      </c>
      <c r="AQ360">
        <f>AL360/AM360</f>
        <v>1.3699059561128528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 s="1">
        <v>0</v>
      </c>
      <c r="BF360" s="1">
        <v>0</v>
      </c>
      <c r="BG360" s="1">
        <v>17</v>
      </c>
      <c r="BH360">
        <f>25260.12+5984+4259+412+349+986+724+850+45.16</f>
        <v>38869.279999999999</v>
      </c>
      <c r="BI360" s="1">
        <v>0</v>
      </c>
      <c r="BJ360" s="1">
        <v>1</v>
      </c>
    </row>
    <row r="361" spans="1:62" x14ac:dyDescent="0.3">
      <c r="A361" s="1">
        <v>1</v>
      </c>
      <c r="B361">
        <v>360</v>
      </c>
      <c r="C361" s="1" t="s">
        <v>60</v>
      </c>
      <c r="D361">
        <v>0</v>
      </c>
      <c r="E361" s="6">
        <v>43192</v>
      </c>
      <c r="F361" s="1" t="s">
        <v>52</v>
      </c>
      <c r="G361" s="1">
        <v>0</v>
      </c>
      <c r="H361" s="1">
        <v>1</v>
      </c>
      <c r="I361" s="1">
        <v>2</v>
      </c>
      <c r="J361" s="1" t="s">
        <v>193</v>
      </c>
      <c r="K361" s="1">
        <v>23.78</v>
      </c>
      <c r="L361" s="1">
        <v>0</v>
      </c>
      <c r="M361" s="1">
        <v>1</v>
      </c>
      <c r="N361" s="1">
        <v>1</v>
      </c>
      <c r="O361" s="1">
        <v>1</v>
      </c>
      <c r="P361" s="1">
        <v>0</v>
      </c>
      <c r="Q361" s="1">
        <v>0</v>
      </c>
      <c r="R361" s="1">
        <v>0</v>
      </c>
      <c r="S361" s="1">
        <v>0</v>
      </c>
      <c r="T361" s="1">
        <v>1</v>
      </c>
      <c r="U361" s="1">
        <v>1</v>
      </c>
      <c r="V361" s="1">
        <v>0</v>
      </c>
      <c r="W361" s="1">
        <v>0</v>
      </c>
      <c r="X361" s="1">
        <v>0</v>
      </c>
      <c r="Y361" s="1">
        <v>0</v>
      </c>
      <c r="Z361" s="1">
        <v>2</v>
      </c>
      <c r="AA361">
        <v>0.76779000000000008</v>
      </c>
      <c r="AB361" s="1">
        <v>7.83</v>
      </c>
      <c r="AC361" s="1">
        <v>40</v>
      </c>
      <c r="AD361">
        <f>AB361*100/AC361</f>
        <v>19.574999999999999</v>
      </c>
      <c r="AG361" s="1">
        <v>2</v>
      </c>
      <c r="AR361" s="1">
        <v>1</v>
      </c>
      <c r="AS361" s="1">
        <v>0</v>
      </c>
      <c r="AT361" s="1">
        <v>0</v>
      </c>
      <c r="AU361" s="1">
        <v>1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3</v>
      </c>
      <c r="BE361" s="1">
        <v>1</v>
      </c>
      <c r="BF361" s="1">
        <v>1</v>
      </c>
      <c r="BG361" s="1">
        <v>21</v>
      </c>
      <c r="BH361" s="1">
        <v>39316.65</v>
      </c>
      <c r="BI361" s="1">
        <v>0</v>
      </c>
      <c r="BJ361" s="1">
        <v>1</v>
      </c>
    </row>
    <row r="362" spans="1:62" ht="15" x14ac:dyDescent="0.3">
      <c r="A362">
        <v>1</v>
      </c>
      <c r="B362" s="1">
        <v>361</v>
      </c>
      <c r="C362" s="5" t="s">
        <v>54</v>
      </c>
      <c r="D362">
        <v>0</v>
      </c>
      <c r="E362" s="2" t="s">
        <v>167</v>
      </c>
      <c r="F362" s="4" t="s">
        <v>70</v>
      </c>
      <c r="G362" s="1">
        <v>0</v>
      </c>
      <c r="H362" s="1">
        <v>1</v>
      </c>
      <c r="I362" s="1">
        <v>2</v>
      </c>
      <c r="J362" s="1" t="s">
        <v>191</v>
      </c>
      <c r="K362" s="1">
        <v>18.73</v>
      </c>
      <c r="L362" s="1">
        <v>1</v>
      </c>
      <c r="M362" s="1">
        <v>1</v>
      </c>
      <c r="N362" s="1">
        <v>1</v>
      </c>
      <c r="O362" s="1">
        <v>0</v>
      </c>
      <c r="P362" s="1">
        <v>1</v>
      </c>
      <c r="Q362" s="1">
        <v>0</v>
      </c>
      <c r="R362" s="1">
        <v>0</v>
      </c>
      <c r="S362" s="1">
        <v>0</v>
      </c>
      <c r="T362" s="1">
        <v>1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2</v>
      </c>
      <c r="AA362" s="1">
        <v>1.21</v>
      </c>
      <c r="AB362" s="1">
        <v>9.85</v>
      </c>
      <c r="AC362" s="1">
        <v>21</v>
      </c>
      <c r="AD362">
        <f>AB362*100/AC362</f>
        <v>46.904761904761905</v>
      </c>
      <c r="AK362">
        <v>78.900000000000006</v>
      </c>
      <c r="AL362">
        <v>44.2</v>
      </c>
      <c r="AM362">
        <v>25.7</v>
      </c>
      <c r="AN362">
        <v>1018</v>
      </c>
      <c r="AO362">
        <v>570</v>
      </c>
      <c r="AP362">
        <v>332</v>
      </c>
      <c r="AQ362">
        <f>AL362/AM362</f>
        <v>1.7198443579766538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 s="1">
        <v>0</v>
      </c>
      <c r="BF362" s="1">
        <v>1</v>
      </c>
      <c r="BG362" s="1">
        <v>14</v>
      </c>
      <c r="BH362">
        <f>11073.16+165+13912+2995+140+1123+468+672+5040+450+3381.4</f>
        <v>39419.560000000005</v>
      </c>
      <c r="BI362" s="1">
        <v>0</v>
      </c>
      <c r="BJ362" s="1">
        <v>0</v>
      </c>
    </row>
    <row r="363" spans="1:62" x14ac:dyDescent="0.3">
      <c r="A363" s="1">
        <v>1</v>
      </c>
      <c r="B363">
        <v>362</v>
      </c>
      <c r="C363" s="1" t="s">
        <v>60</v>
      </c>
      <c r="D363">
        <v>0</v>
      </c>
      <c r="E363" s="6">
        <v>43187</v>
      </c>
      <c r="F363" s="1" t="s">
        <v>85</v>
      </c>
      <c r="G363" s="1">
        <v>0</v>
      </c>
      <c r="H363" s="1">
        <v>0</v>
      </c>
      <c r="I363" s="1">
        <v>3</v>
      </c>
      <c r="J363" s="1" t="s">
        <v>187</v>
      </c>
      <c r="K363" s="1">
        <v>23.03</v>
      </c>
      <c r="L363" s="1">
        <v>1</v>
      </c>
      <c r="M363" s="1">
        <v>0</v>
      </c>
      <c r="N363" s="1">
        <v>1</v>
      </c>
      <c r="O363" s="1">
        <v>0</v>
      </c>
      <c r="P363" s="1">
        <v>0</v>
      </c>
      <c r="Q363" s="1">
        <v>1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2</v>
      </c>
      <c r="AA363">
        <v>2.3309899999999999</v>
      </c>
      <c r="AK363" s="1">
        <v>65.599999999999994</v>
      </c>
      <c r="AL363" s="1">
        <v>34.4</v>
      </c>
      <c r="AM363" s="1">
        <v>27</v>
      </c>
      <c r="AN363" s="1">
        <v>1528</v>
      </c>
      <c r="AO363" s="1">
        <v>802</v>
      </c>
      <c r="AP363" s="1">
        <v>629</v>
      </c>
      <c r="AQ363">
        <f>AL363/AM363</f>
        <v>1.2740740740740739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12</v>
      </c>
      <c r="BH363" s="1">
        <v>15751.75</v>
      </c>
      <c r="BI363" s="1">
        <v>0</v>
      </c>
      <c r="BJ363" s="1">
        <v>0</v>
      </c>
    </row>
    <row r="364" spans="1:62" x14ac:dyDescent="0.3">
      <c r="A364" s="1">
        <v>1</v>
      </c>
      <c r="B364" s="1">
        <v>363</v>
      </c>
      <c r="C364" s="1" t="s">
        <v>51</v>
      </c>
      <c r="D364">
        <v>0</v>
      </c>
      <c r="E364" s="6">
        <v>42376</v>
      </c>
      <c r="F364" s="1" t="s">
        <v>64</v>
      </c>
      <c r="G364" s="1">
        <v>1</v>
      </c>
      <c r="H364" s="1">
        <v>1</v>
      </c>
      <c r="I364" s="1">
        <v>2</v>
      </c>
      <c r="J364" s="1" t="s">
        <v>193</v>
      </c>
      <c r="K364" s="1">
        <v>18.75</v>
      </c>
      <c r="L364" s="1">
        <v>1</v>
      </c>
      <c r="M364" s="1">
        <v>1</v>
      </c>
      <c r="N364" s="1">
        <v>1</v>
      </c>
      <c r="O364" s="1">
        <v>1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1</v>
      </c>
      <c r="W364" s="1">
        <v>0</v>
      </c>
      <c r="X364" s="1">
        <v>0</v>
      </c>
      <c r="Y364" s="1">
        <v>0</v>
      </c>
      <c r="Z364" s="1">
        <v>2</v>
      </c>
      <c r="AA364">
        <v>1.0943099999999999</v>
      </c>
      <c r="AB364" s="1">
        <v>7.02</v>
      </c>
      <c r="AC364" s="1">
        <v>61</v>
      </c>
      <c r="AD364">
        <f>AB364*100/AC364</f>
        <v>11.508196721311476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>
        <v>0</v>
      </c>
      <c r="BB364">
        <v>0</v>
      </c>
      <c r="BC364">
        <v>0</v>
      </c>
      <c r="BD364" s="1">
        <v>2</v>
      </c>
      <c r="BE364" s="1">
        <v>0</v>
      </c>
      <c r="BF364" s="1">
        <v>0</v>
      </c>
      <c r="BG364" s="1">
        <v>23</v>
      </c>
      <c r="BH364" s="1">
        <v>39855.17</v>
      </c>
      <c r="BI364" s="1">
        <v>1</v>
      </c>
      <c r="BJ364" s="1">
        <v>0</v>
      </c>
    </row>
    <row r="365" spans="1:62" ht="15" x14ac:dyDescent="0.3">
      <c r="A365">
        <v>1</v>
      </c>
      <c r="B365" s="1">
        <v>364</v>
      </c>
      <c r="C365" s="5" t="s">
        <v>57</v>
      </c>
      <c r="D365">
        <v>0</v>
      </c>
      <c r="E365" s="2" t="s">
        <v>163</v>
      </c>
      <c r="F365" s="4" t="s">
        <v>70</v>
      </c>
      <c r="G365" s="1">
        <v>1</v>
      </c>
      <c r="H365" s="1">
        <v>1</v>
      </c>
      <c r="I365" s="1">
        <v>2</v>
      </c>
      <c r="J365" s="1" t="s">
        <v>195</v>
      </c>
      <c r="K365" s="1">
        <v>15.63</v>
      </c>
      <c r="L365" s="1">
        <v>0</v>
      </c>
      <c r="M365" s="1">
        <v>1</v>
      </c>
      <c r="N365" s="1">
        <v>1</v>
      </c>
      <c r="O365" s="1">
        <v>1</v>
      </c>
      <c r="P365" s="1">
        <v>1</v>
      </c>
      <c r="Q365" s="1">
        <v>1</v>
      </c>
      <c r="R365" s="1">
        <v>0</v>
      </c>
      <c r="S365" s="1">
        <v>0</v>
      </c>
      <c r="T365" s="1">
        <v>1</v>
      </c>
      <c r="U365" s="1">
        <v>0</v>
      </c>
      <c r="V365" s="1">
        <v>1</v>
      </c>
      <c r="W365" s="1">
        <v>0</v>
      </c>
      <c r="X365" s="1">
        <v>0</v>
      </c>
      <c r="Y365" s="1">
        <v>0</v>
      </c>
      <c r="Z365" s="1">
        <v>2</v>
      </c>
      <c r="AA365" s="1">
        <v>0.22</v>
      </c>
      <c r="AB365">
        <f>97.6/7.5</f>
        <v>13.013333333333332</v>
      </c>
      <c r="AC365" s="1">
        <v>50</v>
      </c>
      <c r="AD365">
        <f>AB365*100/AC365</f>
        <v>26.026666666666664</v>
      </c>
      <c r="AF365">
        <v>377</v>
      </c>
      <c r="AG365">
        <v>101</v>
      </c>
      <c r="AH365">
        <v>213</v>
      </c>
      <c r="AI365">
        <v>15.5</v>
      </c>
      <c r="AK365">
        <v>25.1</v>
      </c>
      <c r="AL365">
        <v>14.5</v>
      </c>
      <c r="AM365">
        <v>7.2</v>
      </c>
      <c r="AN365">
        <v>53</v>
      </c>
      <c r="AO365">
        <v>30</v>
      </c>
      <c r="AP365">
        <v>15</v>
      </c>
      <c r="AQ365">
        <f>AL365/AM365</f>
        <v>2.0138888888888888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1</v>
      </c>
      <c r="BC365">
        <v>0</v>
      </c>
      <c r="BD365">
        <v>5</v>
      </c>
      <c r="BE365" s="1">
        <v>2</v>
      </c>
      <c r="BF365" s="1">
        <v>1</v>
      </c>
      <c r="BG365" s="1">
        <v>10</v>
      </c>
      <c r="BH365">
        <f>34738.51+18849+4980+630+11787+970+1750+960+3600+1010+8090.25</f>
        <v>87364.760000000009</v>
      </c>
      <c r="BI365" s="1">
        <v>0</v>
      </c>
      <c r="BJ365" s="1">
        <v>1</v>
      </c>
    </row>
    <row r="366" spans="1:62" x14ac:dyDescent="0.3">
      <c r="A366" s="1">
        <v>1</v>
      </c>
      <c r="B366">
        <v>365</v>
      </c>
      <c r="C366" s="1" t="s">
        <v>75</v>
      </c>
      <c r="D366">
        <v>0</v>
      </c>
      <c r="E366" s="6">
        <v>42580</v>
      </c>
      <c r="F366" s="1" t="s">
        <v>61</v>
      </c>
      <c r="G366" s="1">
        <v>1</v>
      </c>
      <c r="H366" s="1">
        <v>1</v>
      </c>
      <c r="I366" s="1">
        <v>3</v>
      </c>
      <c r="J366" s="1" t="s">
        <v>182</v>
      </c>
      <c r="K366" s="1">
        <v>19.66</v>
      </c>
      <c r="L366" s="1">
        <v>0</v>
      </c>
      <c r="M366" s="1">
        <v>1</v>
      </c>
      <c r="N366" s="1">
        <v>1</v>
      </c>
      <c r="O366" s="1">
        <v>1</v>
      </c>
      <c r="P366" s="1">
        <v>1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2</v>
      </c>
      <c r="AA366">
        <v>0.1404</v>
      </c>
      <c r="AF366" s="1">
        <v>5148</v>
      </c>
      <c r="AK366" s="1">
        <v>92.6</v>
      </c>
      <c r="AL366" s="1">
        <v>13.1</v>
      </c>
      <c r="AM366" s="1">
        <v>16.899999999999999</v>
      </c>
      <c r="AQ366">
        <f>AL366/AM366</f>
        <v>0.77514792899408291</v>
      </c>
      <c r="AR366" s="1">
        <v>1</v>
      </c>
      <c r="AS366" s="1">
        <v>1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3</v>
      </c>
      <c r="BE366" s="1">
        <v>0</v>
      </c>
      <c r="BF366" s="1">
        <v>1</v>
      </c>
      <c r="BG366" s="1">
        <v>8</v>
      </c>
      <c r="BH366" s="1">
        <v>40006.370000000003</v>
      </c>
      <c r="BI366" s="1">
        <v>0</v>
      </c>
      <c r="BJ366" s="1">
        <v>1</v>
      </c>
    </row>
    <row r="367" spans="1:62" x14ac:dyDescent="0.3">
      <c r="A367" s="1">
        <v>1</v>
      </c>
      <c r="B367" s="1">
        <v>366</v>
      </c>
      <c r="C367" s="1" t="s">
        <v>54</v>
      </c>
      <c r="D367">
        <v>0</v>
      </c>
      <c r="E367" s="6">
        <v>42883</v>
      </c>
      <c r="F367" s="1" t="s">
        <v>52</v>
      </c>
      <c r="G367" s="1">
        <v>0</v>
      </c>
      <c r="H367" s="1">
        <v>1</v>
      </c>
      <c r="I367" s="1">
        <v>2</v>
      </c>
      <c r="J367" s="1" t="s">
        <v>194</v>
      </c>
      <c r="K367" s="1">
        <v>15.06</v>
      </c>
      <c r="L367" s="1">
        <v>0</v>
      </c>
      <c r="M367" s="1">
        <v>1</v>
      </c>
      <c r="N367" s="1">
        <v>1</v>
      </c>
      <c r="O367" s="1">
        <v>1</v>
      </c>
      <c r="P367" s="1">
        <v>0</v>
      </c>
      <c r="Q367" s="1">
        <v>1</v>
      </c>
      <c r="R367" s="1">
        <v>1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2</v>
      </c>
      <c r="AA367">
        <v>0.95215000000000005</v>
      </c>
      <c r="AB367" s="1">
        <v>13.19</v>
      </c>
      <c r="AC367" s="1">
        <v>40</v>
      </c>
      <c r="AD367">
        <f>AB367*100/AC367</f>
        <v>32.975000000000001</v>
      </c>
      <c r="AE367" s="1">
        <v>5</v>
      </c>
      <c r="AF367" s="1">
        <v>1081</v>
      </c>
      <c r="AG367" s="1">
        <v>74.599999999999994</v>
      </c>
      <c r="AH367" s="1">
        <v>747</v>
      </c>
      <c r="AI367" s="1">
        <v>5.24</v>
      </c>
      <c r="AJ367" s="1">
        <v>22.6</v>
      </c>
      <c r="AK367" s="1">
        <v>76.7</v>
      </c>
      <c r="AL367" s="1">
        <v>56.2</v>
      </c>
      <c r="AM367" s="1">
        <v>22.6</v>
      </c>
      <c r="AN367" s="1">
        <v>729</v>
      </c>
      <c r="AO367" s="1">
        <v>534</v>
      </c>
      <c r="AP367" s="1">
        <v>215</v>
      </c>
      <c r="AQ367">
        <f>AL367/AM367</f>
        <v>2.4867256637168142</v>
      </c>
      <c r="AR367" s="1">
        <v>1</v>
      </c>
      <c r="AS367" s="1">
        <v>1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1</v>
      </c>
      <c r="BE367" s="1">
        <v>2</v>
      </c>
      <c r="BF367" s="1">
        <v>1</v>
      </c>
      <c r="BG367" s="1">
        <v>15</v>
      </c>
      <c r="BH367" s="1">
        <v>55121.73</v>
      </c>
      <c r="BI367" s="1">
        <v>0</v>
      </c>
      <c r="BJ367" s="1">
        <v>0</v>
      </c>
    </row>
    <row r="368" spans="1:62" x14ac:dyDescent="0.3">
      <c r="A368" s="1">
        <v>1</v>
      </c>
      <c r="B368">
        <v>367</v>
      </c>
      <c r="C368" s="1" t="s">
        <v>87</v>
      </c>
      <c r="D368">
        <v>0</v>
      </c>
      <c r="E368" s="6">
        <v>43122</v>
      </c>
      <c r="F368" s="1" t="s">
        <v>88</v>
      </c>
      <c r="G368" s="1">
        <v>0</v>
      </c>
      <c r="H368" s="1">
        <v>0</v>
      </c>
      <c r="I368" s="1">
        <v>2</v>
      </c>
      <c r="J368" s="1" t="s">
        <v>197</v>
      </c>
      <c r="K368" s="1">
        <v>24.22</v>
      </c>
      <c r="L368" s="1">
        <v>0</v>
      </c>
      <c r="M368" s="1">
        <v>1</v>
      </c>
      <c r="N368" s="1">
        <v>1</v>
      </c>
      <c r="O368" s="1">
        <v>0</v>
      </c>
      <c r="P368" s="1">
        <v>0</v>
      </c>
      <c r="Q368" s="1">
        <v>1</v>
      </c>
      <c r="R368" s="1">
        <v>1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2</v>
      </c>
      <c r="AA368">
        <v>0.57779999999999998</v>
      </c>
      <c r="AR368" s="1">
        <v>1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2</v>
      </c>
      <c r="BE368" s="1">
        <v>0</v>
      </c>
      <c r="BF368" s="1">
        <v>0</v>
      </c>
      <c r="BG368" s="1">
        <v>23</v>
      </c>
      <c r="BH368" s="1">
        <v>33268.04</v>
      </c>
      <c r="BI368" s="1">
        <v>0</v>
      </c>
      <c r="BJ368" s="1">
        <v>1</v>
      </c>
    </row>
    <row r="369" spans="1:62" x14ac:dyDescent="0.3">
      <c r="A369" s="1">
        <v>1</v>
      </c>
      <c r="B369" s="1">
        <v>368</v>
      </c>
      <c r="C369" s="1" t="s">
        <v>49</v>
      </c>
      <c r="D369">
        <v>0</v>
      </c>
      <c r="E369" s="6">
        <v>43045</v>
      </c>
      <c r="F369" s="1" t="s">
        <v>85</v>
      </c>
      <c r="G369" s="1">
        <v>0</v>
      </c>
      <c r="H369" s="1">
        <v>0</v>
      </c>
      <c r="I369" s="1">
        <v>2</v>
      </c>
      <c r="J369" s="1" t="s">
        <v>196</v>
      </c>
      <c r="K369" s="1">
        <v>20.57</v>
      </c>
      <c r="L369" s="1">
        <v>0</v>
      </c>
      <c r="M369" s="1">
        <v>0</v>
      </c>
      <c r="N369" s="1">
        <v>1</v>
      </c>
      <c r="O369" s="1">
        <v>0</v>
      </c>
      <c r="P369" s="1">
        <v>0</v>
      </c>
      <c r="Q369" s="1">
        <v>1</v>
      </c>
      <c r="R369" s="1">
        <v>0</v>
      </c>
      <c r="S369" s="1">
        <v>0</v>
      </c>
      <c r="T369" s="1">
        <v>1</v>
      </c>
      <c r="U369" s="1">
        <v>0</v>
      </c>
      <c r="V369" s="1">
        <v>0</v>
      </c>
      <c r="W369" s="1">
        <v>0</v>
      </c>
      <c r="X369" s="1">
        <v>1</v>
      </c>
      <c r="Y369" s="1">
        <v>0</v>
      </c>
      <c r="Z369" s="1">
        <v>2</v>
      </c>
      <c r="AA369">
        <v>1.2222</v>
      </c>
      <c r="AN369" s="1">
        <v>1001</v>
      </c>
      <c r="AO369" s="1">
        <v>604</v>
      </c>
      <c r="AP369" s="1">
        <v>382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3</v>
      </c>
      <c r="BE369" s="1">
        <v>0</v>
      </c>
      <c r="BF369" s="1">
        <v>0</v>
      </c>
      <c r="BG369" s="1">
        <v>14</v>
      </c>
      <c r="BH369" s="1">
        <v>34693.31</v>
      </c>
      <c r="BI369" s="1">
        <v>0</v>
      </c>
      <c r="BJ369" s="1">
        <v>0</v>
      </c>
    </row>
    <row r="370" spans="1:62" x14ac:dyDescent="0.3">
      <c r="A370" s="1">
        <v>1</v>
      </c>
      <c r="B370" s="1">
        <v>369</v>
      </c>
      <c r="C370" s="1" t="s">
        <v>60</v>
      </c>
      <c r="D370">
        <v>0</v>
      </c>
      <c r="E370" s="6">
        <v>42361</v>
      </c>
      <c r="F370" s="1" t="s">
        <v>52</v>
      </c>
      <c r="G370" s="1">
        <v>1</v>
      </c>
      <c r="H370" s="1">
        <v>1</v>
      </c>
      <c r="I370" s="1">
        <v>2</v>
      </c>
      <c r="J370" s="1" t="s">
        <v>191</v>
      </c>
      <c r="K370" s="1">
        <v>33.299999999999997</v>
      </c>
      <c r="L370" s="1">
        <v>0</v>
      </c>
      <c r="M370" s="1">
        <v>1</v>
      </c>
      <c r="N370" s="1">
        <v>0</v>
      </c>
      <c r="O370" s="1">
        <v>0</v>
      </c>
      <c r="P370" s="1">
        <v>1</v>
      </c>
      <c r="Q370" s="1">
        <v>1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2</v>
      </c>
      <c r="AA370">
        <v>1.0087999999999999</v>
      </c>
      <c r="AB370" s="1">
        <v>7.92</v>
      </c>
      <c r="AC370" s="1">
        <v>100</v>
      </c>
      <c r="AD370">
        <f>AB370*100/AC370</f>
        <v>7.92</v>
      </c>
      <c r="AE370" s="1">
        <v>5</v>
      </c>
      <c r="AF370" s="1">
        <v>887</v>
      </c>
      <c r="AG370" s="1">
        <v>15.9</v>
      </c>
      <c r="AH370" s="1">
        <v>25.9</v>
      </c>
      <c r="AI370" s="1">
        <v>5</v>
      </c>
      <c r="AJ370" s="1">
        <v>14</v>
      </c>
      <c r="AK370" s="1">
        <v>39.200000000000003</v>
      </c>
      <c r="AL370" s="1">
        <v>20.3</v>
      </c>
      <c r="AM370" s="1">
        <v>18.5</v>
      </c>
      <c r="AN370" s="1">
        <v>534</v>
      </c>
      <c r="AO370" s="1">
        <v>276</v>
      </c>
      <c r="AP370" s="1">
        <v>251</v>
      </c>
      <c r="AQ370">
        <f t="shared" ref="AQ370:AQ376" si="9">AL370/AM370</f>
        <v>1.0972972972972974</v>
      </c>
      <c r="AR370" s="1">
        <v>1</v>
      </c>
      <c r="AS370" s="1">
        <v>1</v>
      </c>
      <c r="AT370" s="1">
        <v>0</v>
      </c>
      <c r="AU370" s="1">
        <v>1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>
        <v>0</v>
      </c>
      <c r="BB370">
        <v>0</v>
      </c>
      <c r="BC370">
        <v>0</v>
      </c>
      <c r="BD370" s="1">
        <v>4</v>
      </c>
      <c r="BE370" s="1">
        <v>2</v>
      </c>
      <c r="BF370" s="1">
        <v>1</v>
      </c>
      <c r="BG370" s="1">
        <v>23</v>
      </c>
      <c r="BH370" s="1">
        <v>140227.35</v>
      </c>
      <c r="BI370" s="1">
        <v>1</v>
      </c>
      <c r="BJ370" s="1">
        <v>1</v>
      </c>
    </row>
    <row r="371" spans="1:62" x14ac:dyDescent="0.3">
      <c r="A371" s="1">
        <v>1</v>
      </c>
      <c r="B371">
        <v>370</v>
      </c>
      <c r="C371" s="1" t="s">
        <v>51</v>
      </c>
      <c r="D371">
        <v>0</v>
      </c>
      <c r="E371" s="6">
        <v>42146</v>
      </c>
      <c r="F371" s="1" t="s">
        <v>53</v>
      </c>
      <c r="G371" s="1">
        <v>0</v>
      </c>
      <c r="H371" s="1">
        <v>1</v>
      </c>
      <c r="I371" s="1">
        <v>2</v>
      </c>
      <c r="J371" s="1" t="s">
        <v>193</v>
      </c>
      <c r="K371" s="1">
        <v>18.59</v>
      </c>
      <c r="L371" s="1">
        <v>1</v>
      </c>
      <c r="M371" s="1">
        <v>1</v>
      </c>
      <c r="N371" s="1">
        <v>1</v>
      </c>
      <c r="O371" s="1">
        <v>1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2</v>
      </c>
      <c r="AA371">
        <v>0.40759999999999996</v>
      </c>
      <c r="AB371" s="1">
        <v>5.61</v>
      </c>
      <c r="AC371" s="1">
        <v>33</v>
      </c>
      <c r="AD371">
        <f>AB371*100/AC371</f>
        <v>17</v>
      </c>
      <c r="AE371" s="1">
        <v>5</v>
      </c>
      <c r="AF371" s="1">
        <v>2863</v>
      </c>
      <c r="AG371" s="1">
        <v>60.2</v>
      </c>
      <c r="AH371" s="1">
        <v>152</v>
      </c>
      <c r="AI371" s="1">
        <v>18.2</v>
      </c>
      <c r="AJ371" s="1">
        <v>7.59</v>
      </c>
      <c r="AK371" s="1">
        <v>61.2</v>
      </c>
      <c r="AL371" s="1">
        <v>31.6</v>
      </c>
      <c r="AM371" s="1">
        <v>29.3</v>
      </c>
      <c r="AN371" s="1">
        <v>508</v>
      </c>
      <c r="AO371" s="1">
        <v>262</v>
      </c>
      <c r="AP371" s="1">
        <v>243</v>
      </c>
      <c r="AQ371">
        <f t="shared" si="9"/>
        <v>1.0784982935153584</v>
      </c>
      <c r="AR371" s="1">
        <v>1</v>
      </c>
      <c r="AS371" s="1">
        <v>1</v>
      </c>
      <c r="AT371" s="1">
        <v>1</v>
      </c>
      <c r="AU371" s="1">
        <v>0</v>
      </c>
      <c r="AV371" s="1">
        <v>0</v>
      </c>
      <c r="AW371" s="1">
        <v>1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2</v>
      </c>
      <c r="BE371" s="1">
        <v>2</v>
      </c>
      <c r="BF371" s="1">
        <v>1</v>
      </c>
      <c r="BG371" s="1">
        <v>101</v>
      </c>
      <c r="BH371" s="1">
        <v>41846.980000000003</v>
      </c>
      <c r="BI371" s="1">
        <v>1</v>
      </c>
      <c r="BJ371" s="1">
        <v>1</v>
      </c>
    </row>
    <row r="372" spans="1:62" x14ac:dyDescent="0.3">
      <c r="A372">
        <v>1</v>
      </c>
      <c r="B372" s="1">
        <v>371</v>
      </c>
      <c r="C372" s="1" t="s">
        <v>60</v>
      </c>
      <c r="D372">
        <v>0</v>
      </c>
      <c r="E372" s="2">
        <v>43486</v>
      </c>
      <c r="F372" t="s">
        <v>53</v>
      </c>
      <c r="G372" s="1">
        <v>0</v>
      </c>
      <c r="H372" s="1">
        <v>1</v>
      </c>
      <c r="I372" s="1">
        <v>3</v>
      </c>
      <c r="J372" s="1" t="s">
        <v>191</v>
      </c>
      <c r="K372" s="1">
        <v>22.41</v>
      </c>
      <c r="L372" s="1">
        <v>1</v>
      </c>
      <c r="M372" s="1">
        <v>0</v>
      </c>
      <c r="N372" s="1">
        <v>0</v>
      </c>
      <c r="O372" s="1">
        <v>1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1</v>
      </c>
      <c r="Y372" s="1">
        <v>0</v>
      </c>
      <c r="Z372" s="1">
        <v>2</v>
      </c>
      <c r="AA372" s="1">
        <v>1.03</v>
      </c>
      <c r="AB372" s="1">
        <v>10.8</v>
      </c>
      <c r="AC372">
        <f>21+4*3.5</f>
        <v>35</v>
      </c>
      <c r="AD372">
        <f>AB372*100/AC372</f>
        <v>30.857142857142858</v>
      </c>
      <c r="AK372">
        <v>67.2</v>
      </c>
      <c r="AL372">
        <v>40.6</v>
      </c>
      <c r="AM372">
        <v>25.2</v>
      </c>
      <c r="AQ372">
        <f t="shared" si="9"/>
        <v>1.6111111111111112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2</v>
      </c>
      <c r="BE372" s="1">
        <v>0</v>
      </c>
      <c r="BF372" s="1">
        <v>0</v>
      </c>
      <c r="BG372" s="1">
        <v>16</v>
      </c>
      <c r="BH372">
        <f>4409.67+6863+2916+1000+1396+720+899+977+775+22460.83</f>
        <v>42416.5</v>
      </c>
      <c r="BI372" s="1">
        <v>0</v>
      </c>
      <c r="BJ372" s="1">
        <v>1</v>
      </c>
    </row>
    <row r="373" spans="1:62" x14ac:dyDescent="0.3">
      <c r="A373" s="1">
        <v>1</v>
      </c>
      <c r="B373">
        <v>372</v>
      </c>
      <c r="C373" s="1" t="s">
        <v>60</v>
      </c>
      <c r="D373">
        <v>0</v>
      </c>
      <c r="E373" s="6">
        <v>43149</v>
      </c>
      <c r="F373" s="1" t="s">
        <v>53</v>
      </c>
      <c r="G373" s="1">
        <v>0</v>
      </c>
      <c r="H373" s="1">
        <v>0</v>
      </c>
      <c r="I373" s="1">
        <v>3</v>
      </c>
      <c r="J373" s="1" t="s">
        <v>190</v>
      </c>
      <c r="K373" s="1">
        <v>22.41</v>
      </c>
      <c r="L373" s="1">
        <v>1</v>
      </c>
      <c r="M373" s="1">
        <v>1</v>
      </c>
      <c r="N373" s="1">
        <v>1</v>
      </c>
      <c r="O373" s="1">
        <v>0</v>
      </c>
      <c r="P373" s="1">
        <v>1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1</v>
      </c>
      <c r="Z373" s="1">
        <v>1</v>
      </c>
      <c r="AA373">
        <v>1.534</v>
      </c>
      <c r="AE373" s="1">
        <v>5</v>
      </c>
      <c r="AF373" s="1">
        <v>788</v>
      </c>
      <c r="AG373" s="1">
        <v>9.4600000000000009</v>
      </c>
      <c r="AH373" s="1">
        <v>298</v>
      </c>
      <c r="AI373" s="1">
        <v>8.9499999999999993</v>
      </c>
      <c r="AJ373" s="1">
        <v>9.2899999999999991</v>
      </c>
      <c r="AK373" s="1">
        <v>79.5</v>
      </c>
      <c r="AL373" s="1">
        <v>60</v>
      </c>
      <c r="AM373" s="1">
        <v>17.8</v>
      </c>
      <c r="AN373" s="1">
        <v>1471</v>
      </c>
      <c r="AO373" s="1">
        <v>111</v>
      </c>
      <c r="AP373" s="1">
        <v>329</v>
      </c>
      <c r="AQ373">
        <f t="shared" si="9"/>
        <v>3.3707865168539324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24</v>
      </c>
      <c r="BH373" s="1">
        <v>43636.71</v>
      </c>
      <c r="BI373" s="1">
        <v>1</v>
      </c>
      <c r="BJ373" s="1">
        <v>0</v>
      </c>
    </row>
    <row r="374" spans="1:62" x14ac:dyDescent="0.3">
      <c r="A374" s="1">
        <v>1</v>
      </c>
      <c r="B374" s="1">
        <v>373</v>
      </c>
      <c r="C374" s="1" t="s">
        <v>60</v>
      </c>
      <c r="D374">
        <v>0</v>
      </c>
      <c r="E374" s="6">
        <v>42622</v>
      </c>
      <c r="F374" s="1" t="s">
        <v>52</v>
      </c>
      <c r="G374" s="1">
        <v>0</v>
      </c>
      <c r="H374" s="1">
        <v>1</v>
      </c>
      <c r="I374" s="1">
        <v>4</v>
      </c>
      <c r="J374" s="1" t="s">
        <v>182</v>
      </c>
      <c r="K374" s="1">
        <v>15.67</v>
      </c>
      <c r="L374" s="1">
        <v>0</v>
      </c>
      <c r="M374" s="1">
        <v>1</v>
      </c>
      <c r="N374" s="1">
        <v>0</v>
      </c>
      <c r="O374" s="1">
        <v>0</v>
      </c>
      <c r="P374" s="1">
        <v>1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2</v>
      </c>
      <c r="AA374">
        <v>1.52776</v>
      </c>
      <c r="AE374" s="1">
        <v>5</v>
      </c>
      <c r="AF374" s="1">
        <v>1146</v>
      </c>
      <c r="AG374" s="1">
        <v>15.8</v>
      </c>
      <c r="AH374" s="1">
        <v>28.3</v>
      </c>
      <c r="AI374" s="1">
        <v>5</v>
      </c>
      <c r="AJ374" s="1">
        <v>41.8</v>
      </c>
      <c r="AK374" s="1">
        <v>83.1</v>
      </c>
      <c r="AL374" s="1">
        <v>30.1</v>
      </c>
      <c r="AM374" s="1">
        <v>50.5</v>
      </c>
      <c r="AQ374">
        <f t="shared" si="9"/>
        <v>0.59603960396039601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2</v>
      </c>
      <c r="BE374" s="1">
        <v>0</v>
      </c>
      <c r="BF374" s="1">
        <v>1</v>
      </c>
      <c r="BG374" s="1">
        <v>21</v>
      </c>
      <c r="BH374" s="1">
        <v>44694.080000000002</v>
      </c>
      <c r="BI374" s="1">
        <v>0</v>
      </c>
      <c r="BJ374" s="1">
        <v>1</v>
      </c>
    </row>
    <row r="375" spans="1:62" x14ac:dyDescent="0.3">
      <c r="A375">
        <v>1</v>
      </c>
      <c r="B375" s="1">
        <v>374</v>
      </c>
      <c r="C375" t="s">
        <v>49</v>
      </c>
      <c r="D375">
        <v>0</v>
      </c>
      <c r="E375" s="2">
        <v>43521</v>
      </c>
      <c r="F375" t="s">
        <v>53</v>
      </c>
      <c r="G375" s="1">
        <v>0</v>
      </c>
      <c r="H375" s="1">
        <v>1</v>
      </c>
      <c r="I375" s="1">
        <v>1</v>
      </c>
      <c r="J375" s="1" t="s">
        <v>184</v>
      </c>
      <c r="K375" s="1">
        <v>29.38</v>
      </c>
      <c r="L375" s="1">
        <v>1</v>
      </c>
      <c r="M375" s="1">
        <v>1</v>
      </c>
      <c r="N375" s="1">
        <v>1</v>
      </c>
      <c r="O375" s="1">
        <v>1</v>
      </c>
      <c r="P375" s="1">
        <v>1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2</v>
      </c>
      <c r="AA375" s="1">
        <v>1.73</v>
      </c>
      <c r="AB375" s="1">
        <v>7.54</v>
      </c>
      <c r="AC375" s="1">
        <v>33</v>
      </c>
      <c r="AD375">
        <f>AB375*100/AC375</f>
        <v>22.848484848484848</v>
      </c>
      <c r="AK375">
        <v>72</v>
      </c>
      <c r="AL375">
        <v>48.1</v>
      </c>
      <c r="AM375">
        <v>22.5</v>
      </c>
      <c r="AQ375">
        <f t="shared" si="9"/>
        <v>2.137777777777778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 s="1">
        <v>1</v>
      </c>
      <c r="BF375" s="1">
        <v>0</v>
      </c>
      <c r="BG375" s="1">
        <v>13</v>
      </c>
      <c r="BH375">
        <f>15098.82+51.44+19494+2610+280+1874+1192+1450+1590+1250+163.8</f>
        <v>45054.060000000005</v>
      </c>
      <c r="BI375" s="1">
        <v>1</v>
      </c>
      <c r="BJ375" s="1">
        <v>0</v>
      </c>
    </row>
    <row r="376" spans="1:62" x14ac:dyDescent="0.3">
      <c r="A376" s="1">
        <v>1</v>
      </c>
      <c r="B376">
        <v>375</v>
      </c>
      <c r="C376" s="1" t="s">
        <v>60</v>
      </c>
      <c r="D376">
        <v>0</v>
      </c>
      <c r="E376" s="6">
        <v>42361</v>
      </c>
      <c r="F376" s="1" t="s">
        <v>52</v>
      </c>
      <c r="G376" s="1">
        <v>1</v>
      </c>
      <c r="H376" s="1">
        <v>1</v>
      </c>
      <c r="I376" s="1">
        <v>2</v>
      </c>
      <c r="J376" s="1" t="s">
        <v>191</v>
      </c>
      <c r="K376" s="1">
        <v>33.299999999999997</v>
      </c>
      <c r="L376" s="1">
        <v>0</v>
      </c>
      <c r="M376" s="1">
        <v>1</v>
      </c>
      <c r="N376" s="1">
        <v>0</v>
      </c>
      <c r="O376" s="1">
        <v>0</v>
      </c>
      <c r="P376" s="1">
        <v>1</v>
      </c>
      <c r="Q376" s="1">
        <v>1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2</v>
      </c>
      <c r="AA376">
        <v>1.0087999999999999</v>
      </c>
      <c r="AB376" s="1">
        <v>7.92</v>
      </c>
      <c r="AC376" s="1">
        <v>100</v>
      </c>
      <c r="AD376">
        <f>AB376*100/AC376</f>
        <v>7.92</v>
      </c>
      <c r="AE376" s="1">
        <v>5</v>
      </c>
      <c r="AF376" s="1">
        <v>887</v>
      </c>
      <c r="AG376" s="1">
        <v>15.9</v>
      </c>
      <c r="AH376" s="1">
        <v>25.9</v>
      </c>
      <c r="AI376" s="1">
        <v>5</v>
      </c>
      <c r="AJ376" s="1">
        <v>14</v>
      </c>
      <c r="AK376" s="1">
        <v>39.200000000000003</v>
      </c>
      <c r="AL376" s="1">
        <v>20.3</v>
      </c>
      <c r="AM376" s="1">
        <v>18.5</v>
      </c>
      <c r="AN376" s="1">
        <v>534</v>
      </c>
      <c r="AO376" s="1">
        <v>276</v>
      </c>
      <c r="AP376" s="1">
        <v>251</v>
      </c>
      <c r="AQ376">
        <f t="shared" si="9"/>
        <v>1.0972972972972974</v>
      </c>
      <c r="AR376" s="1">
        <v>1</v>
      </c>
      <c r="AS376" s="1">
        <v>1</v>
      </c>
      <c r="AT376" s="1">
        <v>0</v>
      </c>
      <c r="AU376" s="1">
        <v>1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>
        <v>0</v>
      </c>
      <c r="BB376">
        <v>0</v>
      </c>
      <c r="BC376">
        <v>0</v>
      </c>
      <c r="BD376" s="1">
        <v>4</v>
      </c>
      <c r="BE376" s="1">
        <v>2</v>
      </c>
      <c r="BF376" s="1">
        <v>1</v>
      </c>
      <c r="BG376" s="1">
        <v>23</v>
      </c>
      <c r="BH376" s="1">
        <v>140227.35</v>
      </c>
      <c r="BI376" s="1">
        <v>1</v>
      </c>
      <c r="BJ376" s="1">
        <v>1</v>
      </c>
    </row>
    <row r="377" spans="1:62" x14ac:dyDescent="0.3">
      <c r="A377" s="1">
        <v>1</v>
      </c>
      <c r="B377" s="1">
        <v>376</v>
      </c>
      <c r="C377" s="1" t="s">
        <v>60</v>
      </c>
      <c r="D377">
        <v>0</v>
      </c>
      <c r="E377" s="6">
        <v>43122</v>
      </c>
      <c r="F377" s="1" t="s">
        <v>93</v>
      </c>
      <c r="G377" s="1">
        <v>0</v>
      </c>
      <c r="H377" s="1">
        <v>0</v>
      </c>
      <c r="I377" s="1">
        <v>2</v>
      </c>
      <c r="J377" s="1" t="s">
        <v>197</v>
      </c>
      <c r="K377" s="1">
        <v>24.22</v>
      </c>
      <c r="L377" s="1">
        <v>0</v>
      </c>
      <c r="M377" s="1">
        <v>1</v>
      </c>
      <c r="N377" s="1">
        <v>0</v>
      </c>
      <c r="O377" s="1">
        <v>0</v>
      </c>
      <c r="P377" s="1">
        <v>0</v>
      </c>
      <c r="Q377" s="1">
        <v>1</v>
      </c>
      <c r="R377" s="1">
        <v>1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2</v>
      </c>
      <c r="AA377">
        <v>0.57779999999999998</v>
      </c>
      <c r="AR377" s="1">
        <v>1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1</v>
      </c>
      <c r="BE377" s="1">
        <v>0</v>
      </c>
      <c r="BF377" s="1">
        <v>0</v>
      </c>
      <c r="BG377" s="1">
        <v>21</v>
      </c>
      <c r="BH377" s="1">
        <v>118997.15</v>
      </c>
      <c r="BI377" s="1">
        <v>0</v>
      </c>
      <c r="BJ377" s="1">
        <v>1</v>
      </c>
    </row>
    <row r="378" spans="1:62" x14ac:dyDescent="0.3">
      <c r="A378" s="1">
        <v>1</v>
      </c>
      <c r="B378">
        <v>377</v>
      </c>
      <c r="C378" s="1" t="s">
        <v>109</v>
      </c>
      <c r="D378">
        <v>0</v>
      </c>
      <c r="E378" s="6">
        <v>43246</v>
      </c>
      <c r="F378" s="1" t="s">
        <v>85</v>
      </c>
      <c r="G378" s="1">
        <v>0</v>
      </c>
      <c r="H378" s="1">
        <v>0</v>
      </c>
      <c r="I378" s="1">
        <v>3</v>
      </c>
      <c r="J378" s="1" t="s">
        <v>188</v>
      </c>
      <c r="K378" s="1">
        <v>17.579999999999998</v>
      </c>
      <c r="L378" s="1">
        <v>0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2</v>
      </c>
      <c r="AA378">
        <v>0.6149</v>
      </c>
      <c r="AK378" s="1">
        <v>82.1</v>
      </c>
      <c r="AL378" s="1">
        <v>37.5</v>
      </c>
      <c r="AM378" s="1">
        <v>42.1</v>
      </c>
      <c r="AN378" s="1">
        <v>493</v>
      </c>
      <c r="AO378" s="1">
        <v>225</v>
      </c>
      <c r="AP378" s="1">
        <v>253</v>
      </c>
      <c r="AQ378">
        <f>AL378/AM378</f>
        <v>0.89073634204275531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1</v>
      </c>
      <c r="BE378" s="1">
        <v>0</v>
      </c>
      <c r="BF378" s="1">
        <v>0</v>
      </c>
      <c r="BG378" s="1">
        <v>17</v>
      </c>
      <c r="BH378" s="1">
        <v>22135.23</v>
      </c>
      <c r="BI378" s="1">
        <v>0</v>
      </c>
      <c r="BJ378" s="1">
        <v>0</v>
      </c>
    </row>
    <row r="379" spans="1:62" x14ac:dyDescent="0.3">
      <c r="A379" s="1">
        <v>1</v>
      </c>
      <c r="B379" s="1">
        <v>378</v>
      </c>
      <c r="C379" s="1" t="s">
        <v>90</v>
      </c>
      <c r="D379">
        <v>0</v>
      </c>
      <c r="E379" s="6">
        <v>42860</v>
      </c>
      <c r="F379" s="1" t="s">
        <v>121</v>
      </c>
      <c r="G379" s="1">
        <v>0</v>
      </c>
      <c r="H379" s="1">
        <v>0</v>
      </c>
      <c r="I379" s="1">
        <v>2</v>
      </c>
      <c r="J379" s="1" t="s">
        <v>196</v>
      </c>
      <c r="K379" s="1">
        <v>19.399999999999999</v>
      </c>
      <c r="L379" s="1">
        <v>0</v>
      </c>
      <c r="M379" s="1">
        <v>0</v>
      </c>
      <c r="N379" s="1">
        <v>1</v>
      </c>
      <c r="O379" s="1">
        <v>0</v>
      </c>
      <c r="P379" s="1">
        <v>1</v>
      </c>
      <c r="Q379" s="1">
        <v>1</v>
      </c>
      <c r="R379" s="1">
        <v>0</v>
      </c>
      <c r="S379" s="1">
        <v>0</v>
      </c>
      <c r="T379" s="1">
        <v>0</v>
      </c>
      <c r="U379" s="1">
        <v>0</v>
      </c>
      <c r="V379" s="1">
        <v>1</v>
      </c>
      <c r="W379" s="1">
        <v>0</v>
      </c>
      <c r="X379" s="1">
        <v>1</v>
      </c>
      <c r="Y379" s="1">
        <v>0</v>
      </c>
      <c r="Z379" s="1">
        <v>1</v>
      </c>
      <c r="AA379">
        <v>0.55209000000000008</v>
      </c>
      <c r="AB379" s="1">
        <v>13.14</v>
      </c>
      <c r="AC379" s="1">
        <v>33</v>
      </c>
      <c r="AD379">
        <f>AB379*100/AC379</f>
        <v>39.81818181818182</v>
      </c>
      <c r="AR379">
        <v>1</v>
      </c>
      <c r="AS379">
        <v>0</v>
      </c>
      <c r="AT379">
        <v>0</v>
      </c>
      <c r="AU379">
        <v>0</v>
      </c>
      <c r="AV379">
        <v>1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 s="1">
        <v>1</v>
      </c>
      <c r="BE379" s="1">
        <v>0</v>
      </c>
      <c r="BF379" s="1">
        <v>0</v>
      </c>
      <c r="BG379" s="1">
        <v>11</v>
      </c>
      <c r="BH379" s="1">
        <v>4368.18</v>
      </c>
      <c r="BI379" s="1">
        <v>0</v>
      </c>
      <c r="BJ379" s="1">
        <v>0</v>
      </c>
    </row>
    <row r="380" spans="1:62" x14ac:dyDescent="0.3">
      <c r="A380">
        <v>1</v>
      </c>
      <c r="B380" s="1">
        <v>379</v>
      </c>
      <c r="C380" t="s">
        <v>54</v>
      </c>
      <c r="D380">
        <v>0</v>
      </c>
      <c r="E380" s="2" t="s">
        <v>152</v>
      </c>
      <c r="F380" s="4" t="s">
        <v>53</v>
      </c>
      <c r="G380" s="1">
        <v>0</v>
      </c>
      <c r="H380" s="1">
        <v>0</v>
      </c>
      <c r="I380" s="1">
        <v>2</v>
      </c>
      <c r="J380" s="1" t="s">
        <v>191</v>
      </c>
      <c r="K380" s="1">
        <v>18.690000000000001</v>
      </c>
      <c r="L380" s="1">
        <v>1</v>
      </c>
      <c r="M380" s="1">
        <v>1</v>
      </c>
      <c r="N380" s="1">
        <v>1</v>
      </c>
      <c r="O380" s="1">
        <v>0</v>
      </c>
      <c r="P380" s="1">
        <v>0</v>
      </c>
      <c r="Q380" s="1">
        <v>1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1</v>
      </c>
      <c r="AA380" s="1">
        <v>2.2799999999999998</v>
      </c>
      <c r="AK380">
        <v>65.8</v>
      </c>
      <c r="AL380">
        <v>43.9</v>
      </c>
      <c r="AM380">
        <v>20</v>
      </c>
      <c r="AQ380">
        <f>AL380/AM380</f>
        <v>2.1949999999999998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 s="1">
        <v>0</v>
      </c>
      <c r="BF380" s="1">
        <v>0</v>
      </c>
      <c r="BG380" s="1">
        <v>8</v>
      </c>
      <c r="BH380">
        <f>220.31+1469+1137+263+14+2+87+63+75</f>
        <v>3330.31</v>
      </c>
      <c r="BI380" s="1">
        <v>0</v>
      </c>
      <c r="BJ380" s="1">
        <v>0</v>
      </c>
    </row>
    <row r="381" spans="1:62" x14ac:dyDescent="0.3">
      <c r="A381" s="1">
        <v>1</v>
      </c>
      <c r="B381">
        <v>380</v>
      </c>
      <c r="C381" s="1" t="s">
        <v>75</v>
      </c>
      <c r="D381">
        <v>0</v>
      </c>
      <c r="E381" s="6">
        <v>42946</v>
      </c>
      <c r="F381" s="1" t="s">
        <v>52</v>
      </c>
      <c r="G381" s="1">
        <v>1</v>
      </c>
      <c r="H381" s="1">
        <v>1</v>
      </c>
      <c r="I381" s="1">
        <v>2</v>
      </c>
      <c r="J381" s="1" t="s">
        <v>192</v>
      </c>
      <c r="K381" s="1">
        <v>19.54</v>
      </c>
      <c r="L381" s="1">
        <v>1</v>
      </c>
      <c r="M381" s="1">
        <v>1</v>
      </c>
      <c r="N381" s="1">
        <v>1</v>
      </c>
      <c r="O381" s="1">
        <v>0</v>
      </c>
      <c r="P381" s="1">
        <v>1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2</v>
      </c>
      <c r="AA381">
        <v>2.1762000000000001</v>
      </c>
      <c r="AB381" s="1">
        <v>18.149999999999999</v>
      </c>
      <c r="AC381" s="1">
        <v>21</v>
      </c>
      <c r="AD381">
        <f>AB381*100/AC381</f>
        <v>86.428571428571416</v>
      </c>
      <c r="AE381" s="1">
        <v>5</v>
      </c>
      <c r="AF381" s="1">
        <v>4982</v>
      </c>
      <c r="AG381" s="1">
        <v>13.9</v>
      </c>
      <c r="AH381" s="1">
        <v>75</v>
      </c>
      <c r="AI381" s="1">
        <v>5.74</v>
      </c>
      <c r="AK381" s="1">
        <v>62.4</v>
      </c>
      <c r="AL381" s="1">
        <v>27.7</v>
      </c>
      <c r="AM381" s="1">
        <v>31.4</v>
      </c>
      <c r="AQ381">
        <f>AL381/AM381</f>
        <v>0.88216560509554143</v>
      </c>
      <c r="AR381" s="1">
        <v>1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1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3</v>
      </c>
      <c r="BE381" s="1">
        <v>1</v>
      </c>
      <c r="BF381" s="1">
        <v>1</v>
      </c>
      <c r="BG381" s="1">
        <v>12</v>
      </c>
      <c r="BH381" s="1">
        <v>48938.43</v>
      </c>
      <c r="BI381" s="1">
        <v>0</v>
      </c>
      <c r="BJ381" s="1">
        <v>1</v>
      </c>
    </row>
    <row r="382" spans="1:62" x14ac:dyDescent="0.3">
      <c r="A382">
        <v>1</v>
      </c>
      <c r="B382" s="1">
        <v>381</v>
      </c>
      <c r="C382" t="s">
        <v>54</v>
      </c>
      <c r="D382">
        <v>1</v>
      </c>
      <c r="E382" s="2">
        <v>43467</v>
      </c>
      <c r="F382" t="s">
        <v>56</v>
      </c>
      <c r="G382" s="1">
        <v>0</v>
      </c>
      <c r="H382" s="1">
        <v>1</v>
      </c>
      <c r="I382" s="1">
        <v>2</v>
      </c>
      <c r="J382" s="1" t="s">
        <v>192</v>
      </c>
      <c r="K382" s="1">
        <v>21.3</v>
      </c>
      <c r="L382" s="1">
        <v>1</v>
      </c>
      <c r="M382" s="1">
        <v>1</v>
      </c>
      <c r="N382" s="1">
        <v>1</v>
      </c>
      <c r="O382" s="1">
        <v>0</v>
      </c>
      <c r="P382" s="1">
        <v>1</v>
      </c>
      <c r="Q382" s="1">
        <v>0</v>
      </c>
      <c r="R382" s="1">
        <v>0</v>
      </c>
      <c r="S382" s="1">
        <v>0</v>
      </c>
      <c r="T382" s="1">
        <v>1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2</v>
      </c>
      <c r="AA382" s="1">
        <v>0.94</v>
      </c>
      <c r="AB382" s="1">
        <v>9.6199999999999992</v>
      </c>
      <c r="AC382" s="1">
        <v>41</v>
      </c>
      <c r="AD382">
        <f>AB382*100/AC382</f>
        <v>23.463414634146339</v>
      </c>
      <c r="AK382">
        <v>50.5</v>
      </c>
      <c r="AL382">
        <v>29.4</v>
      </c>
      <c r="AM382">
        <v>20.3</v>
      </c>
      <c r="AN382">
        <v>475</v>
      </c>
      <c r="AO382">
        <v>276</v>
      </c>
      <c r="AP382">
        <v>191</v>
      </c>
      <c r="AQ382">
        <f>AL382/AM382</f>
        <v>1.4482758620689653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1</v>
      </c>
      <c r="BE382" s="1">
        <v>1</v>
      </c>
      <c r="BF382" s="1">
        <v>0</v>
      </c>
      <c r="BG382" s="1">
        <v>23</v>
      </c>
      <c r="BH382">
        <f>26852.19+25.72+11400+3703+140+2148+14+1200+1334+966+1150+80.85</f>
        <v>49013.760000000002</v>
      </c>
      <c r="BI382" s="1">
        <v>0</v>
      </c>
      <c r="BJ382" s="1">
        <v>1</v>
      </c>
    </row>
    <row r="383" spans="1:62" x14ac:dyDescent="0.3">
      <c r="A383">
        <v>1</v>
      </c>
      <c r="B383">
        <v>382</v>
      </c>
      <c r="C383" t="s">
        <v>157</v>
      </c>
      <c r="D383">
        <v>0</v>
      </c>
      <c r="E383" s="2" t="s">
        <v>156</v>
      </c>
      <c r="F383" s="4" t="s">
        <v>85</v>
      </c>
      <c r="G383" s="1">
        <v>0</v>
      </c>
      <c r="H383" s="1">
        <v>1</v>
      </c>
      <c r="I383" s="1">
        <v>2</v>
      </c>
      <c r="J383" s="1" t="s">
        <v>192</v>
      </c>
      <c r="K383" s="1">
        <v>22.56</v>
      </c>
      <c r="L383" s="1">
        <v>0</v>
      </c>
      <c r="M383" s="1">
        <v>1</v>
      </c>
      <c r="N383" s="1">
        <v>0</v>
      </c>
      <c r="O383" s="1">
        <v>1</v>
      </c>
      <c r="P383" s="1">
        <v>0</v>
      </c>
      <c r="Q383" s="1">
        <v>0</v>
      </c>
      <c r="R383" s="1">
        <v>0</v>
      </c>
      <c r="S383" s="1">
        <v>0</v>
      </c>
      <c r="T383" s="1">
        <v>1</v>
      </c>
      <c r="U383" s="1">
        <v>1</v>
      </c>
      <c r="V383" s="1">
        <v>0</v>
      </c>
      <c r="W383" s="1">
        <v>0</v>
      </c>
      <c r="X383" s="1">
        <v>1</v>
      </c>
      <c r="Y383" s="1">
        <v>0</v>
      </c>
      <c r="Z383" s="1">
        <v>2</v>
      </c>
      <c r="AA383" s="1">
        <v>0.63</v>
      </c>
      <c r="AB383" s="1">
        <v>11.15</v>
      </c>
      <c r="AC383" s="1">
        <v>21</v>
      </c>
      <c r="AD383">
        <f>AB383*100/AC383</f>
        <v>53.095238095238095</v>
      </c>
      <c r="AK383">
        <v>85.6</v>
      </c>
      <c r="AL383">
        <v>27.1</v>
      </c>
      <c r="AM383">
        <v>38.5</v>
      </c>
      <c r="AN383">
        <v>599</v>
      </c>
      <c r="AO383">
        <v>190</v>
      </c>
      <c r="AP383">
        <v>270</v>
      </c>
      <c r="AQ383">
        <f>AL383/AM383</f>
        <v>0.70389610389610391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2</v>
      </c>
      <c r="BE383" s="1">
        <v>0</v>
      </c>
      <c r="BF383" s="1">
        <v>0</v>
      </c>
      <c r="BG383" s="1">
        <v>25</v>
      </c>
      <c r="BH383">
        <f>16678.21+18625+6029+70+884+140+610+1450+1104+1250+2465.42</f>
        <v>49305.63</v>
      </c>
      <c r="BI383" s="1">
        <v>1</v>
      </c>
      <c r="BJ383" s="1">
        <v>1</v>
      </c>
    </row>
    <row r="384" spans="1:62" x14ac:dyDescent="0.3">
      <c r="A384">
        <v>1</v>
      </c>
      <c r="B384" s="1">
        <v>383</v>
      </c>
      <c r="C384" t="s">
        <v>57</v>
      </c>
      <c r="D384">
        <v>0</v>
      </c>
      <c r="E384" s="2">
        <v>43483</v>
      </c>
      <c r="F384" t="s">
        <v>127</v>
      </c>
      <c r="G384" s="1">
        <v>0</v>
      </c>
      <c r="H384" s="1">
        <v>0</v>
      </c>
      <c r="I384" s="1">
        <v>3</v>
      </c>
      <c r="J384" s="1" t="s">
        <v>191</v>
      </c>
      <c r="K384" s="1">
        <v>29.75</v>
      </c>
      <c r="L384" s="1">
        <v>0</v>
      </c>
      <c r="M384" s="1">
        <v>1</v>
      </c>
      <c r="N384" s="1">
        <v>1</v>
      </c>
      <c r="O384" s="1">
        <v>0</v>
      </c>
      <c r="P384" s="1">
        <v>0</v>
      </c>
      <c r="Q384" s="1">
        <v>1</v>
      </c>
      <c r="R384" s="1">
        <v>1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2</v>
      </c>
      <c r="AA384">
        <f>4.39*0.487</f>
        <v>2.1379299999999999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 s="1">
        <v>0</v>
      </c>
      <c r="BF384" s="1">
        <v>0</v>
      </c>
      <c r="BG384" s="1">
        <v>16</v>
      </c>
      <c r="BH384">
        <f>2367.74+64.34+9588+1681+84+3250+693+825</f>
        <v>18553.080000000002</v>
      </c>
      <c r="BI384" s="1">
        <v>0</v>
      </c>
      <c r="BJ384" s="1">
        <v>0</v>
      </c>
    </row>
    <row r="385" spans="1:62" x14ac:dyDescent="0.3">
      <c r="A385">
        <v>1</v>
      </c>
      <c r="B385" s="1">
        <v>384</v>
      </c>
      <c r="C385" t="s">
        <v>60</v>
      </c>
      <c r="D385">
        <v>0</v>
      </c>
      <c r="E385" s="2" t="s">
        <v>152</v>
      </c>
      <c r="F385" s="4" t="s">
        <v>85</v>
      </c>
      <c r="G385" s="1">
        <v>0</v>
      </c>
      <c r="H385" s="1">
        <v>0</v>
      </c>
      <c r="I385" s="1">
        <v>2</v>
      </c>
      <c r="J385" s="1" t="s">
        <v>193</v>
      </c>
      <c r="K385" s="1">
        <v>25</v>
      </c>
      <c r="L385" s="1">
        <v>0</v>
      </c>
      <c r="M385" s="1">
        <v>1</v>
      </c>
      <c r="N385" s="1">
        <v>0</v>
      </c>
      <c r="O385" s="1">
        <v>0</v>
      </c>
      <c r="P385" s="1">
        <v>0</v>
      </c>
      <c r="Q385" s="1">
        <v>1</v>
      </c>
      <c r="R385" s="1">
        <v>1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1</v>
      </c>
      <c r="Y385" s="1">
        <v>0</v>
      </c>
      <c r="Z385" s="1">
        <v>1</v>
      </c>
      <c r="AA385" s="1">
        <v>2.3199999999999998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3</v>
      </c>
      <c r="BE385" s="1">
        <v>0</v>
      </c>
      <c r="BF385" s="1">
        <v>0</v>
      </c>
      <c r="BG385" s="1">
        <v>3</v>
      </c>
      <c r="BH385">
        <f>493.3+5863+1343+20+174+126+150</f>
        <v>8169.3</v>
      </c>
      <c r="BI385" s="1">
        <v>0</v>
      </c>
      <c r="BJ385" s="1">
        <v>0</v>
      </c>
    </row>
    <row r="386" spans="1:62" x14ac:dyDescent="0.3">
      <c r="A386">
        <v>1</v>
      </c>
      <c r="B386">
        <v>385</v>
      </c>
      <c r="C386" s="1" t="s">
        <v>60</v>
      </c>
      <c r="D386">
        <v>0</v>
      </c>
      <c r="E386" s="2">
        <v>43498</v>
      </c>
      <c r="F386" t="s">
        <v>70</v>
      </c>
      <c r="G386" s="1">
        <v>0</v>
      </c>
      <c r="H386" s="1">
        <v>1</v>
      </c>
      <c r="I386" s="1">
        <v>2</v>
      </c>
      <c r="J386" s="1" t="s">
        <v>194</v>
      </c>
      <c r="K386" s="1">
        <v>21.22</v>
      </c>
      <c r="L386" s="1">
        <v>2</v>
      </c>
      <c r="M386" s="1">
        <v>1</v>
      </c>
      <c r="N386" s="1">
        <v>0</v>
      </c>
      <c r="O386" s="1">
        <v>1</v>
      </c>
      <c r="P386" s="1">
        <v>1</v>
      </c>
      <c r="Q386" s="1">
        <v>1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2</v>
      </c>
      <c r="AA386">
        <f>2*0.196</f>
        <v>0.39200000000000002</v>
      </c>
      <c r="AB386">
        <f>71.3/7.5</f>
        <v>9.5066666666666659</v>
      </c>
      <c r="AC386" s="1">
        <v>40</v>
      </c>
      <c r="AD386">
        <f>AB386*100/AC386</f>
        <v>23.766666666666666</v>
      </c>
      <c r="AE386">
        <v>5</v>
      </c>
      <c r="AF386">
        <v>1058</v>
      </c>
      <c r="AG386">
        <v>6.75</v>
      </c>
      <c r="AH386">
        <v>23.8</v>
      </c>
      <c r="AI386">
        <v>11.1</v>
      </c>
      <c r="AJ386">
        <v>9.3699999999999992</v>
      </c>
      <c r="AK386">
        <v>29.8</v>
      </c>
      <c r="AL386">
        <v>16</v>
      </c>
      <c r="AM386">
        <v>14.7</v>
      </c>
      <c r="AN386">
        <v>174</v>
      </c>
      <c r="AO386">
        <v>147</v>
      </c>
      <c r="AP386">
        <v>135</v>
      </c>
      <c r="AQ386">
        <f>AL386/AM386</f>
        <v>1.08843537414966</v>
      </c>
      <c r="AR386">
        <v>1</v>
      </c>
      <c r="AS386">
        <v>1</v>
      </c>
      <c r="AT386">
        <v>1</v>
      </c>
      <c r="AU386">
        <v>1</v>
      </c>
      <c r="AV386">
        <v>0</v>
      </c>
      <c r="AW386">
        <v>1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2</v>
      </c>
      <c r="BE386" s="1">
        <v>1</v>
      </c>
      <c r="BF386" s="1">
        <v>1</v>
      </c>
      <c r="BG386" s="1">
        <v>48</v>
      </c>
      <c r="BH386">
        <f>102170.02+94830+16950+2240+37134+1600+5712+34200+6535+10860.1</f>
        <v>312231.12</v>
      </c>
      <c r="BI386" s="1">
        <v>1</v>
      </c>
      <c r="BJ386" s="1">
        <v>1</v>
      </c>
    </row>
    <row r="387" spans="1:62" x14ac:dyDescent="0.3">
      <c r="A387" s="1">
        <v>1</v>
      </c>
      <c r="B387" s="1">
        <v>386</v>
      </c>
      <c r="C387" s="1" t="s">
        <v>57</v>
      </c>
      <c r="D387">
        <v>0</v>
      </c>
      <c r="E387" s="6">
        <v>42863</v>
      </c>
      <c r="F387" s="1" t="s">
        <v>52</v>
      </c>
      <c r="G387" s="1">
        <v>0</v>
      </c>
      <c r="H387" s="1">
        <v>1</v>
      </c>
      <c r="I387" s="1">
        <v>2</v>
      </c>
      <c r="J387" s="1" t="s">
        <v>195</v>
      </c>
      <c r="K387" s="1">
        <v>23.59</v>
      </c>
      <c r="L387" s="1">
        <v>0</v>
      </c>
      <c r="M387" s="1">
        <v>1</v>
      </c>
      <c r="N387" s="1">
        <v>1</v>
      </c>
      <c r="O387" s="1">
        <v>1</v>
      </c>
      <c r="P387" s="1">
        <v>0</v>
      </c>
      <c r="Q387" s="1">
        <v>0</v>
      </c>
      <c r="R387" s="1">
        <v>1</v>
      </c>
      <c r="S387" s="1">
        <v>0</v>
      </c>
      <c r="T387" s="1">
        <v>1</v>
      </c>
      <c r="U387" s="1">
        <v>1</v>
      </c>
      <c r="V387" s="1">
        <v>1</v>
      </c>
      <c r="W387" s="1">
        <v>0</v>
      </c>
      <c r="X387" s="1">
        <v>0</v>
      </c>
      <c r="Y387" s="1">
        <v>0</v>
      </c>
      <c r="Z387" s="1">
        <v>2</v>
      </c>
      <c r="AA387">
        <v>0.80262</v>
      </c>
      <c r="AB387" s="1">
        <v>9.6</v>
      </c>
      <c r="AC387" s="1">
        <v>50</v>
      </c>
      <c r="AD387">
        <f>AB387*100/AC387</f>
        <v>19.2</v>
      </c>
      <c r="AE387" s="1">
        <v>5</v>
      </c>
      <c r="AF387" s="1">
        <v>787</v>
      </c>
      <c r="AG387" s="1">
        <v>5.05</v>
      </c>
      <c r="AH387" s="1">
        <v>9.16</v>
      </c>
      <c r="AI387" s="1">
        <v>5.0599999999999996</v>
      </c>
      <c r="AJ387" s="1">
        <v>4.4400000000000004</v>
      </c>
      <c r="AK387" s="1">
        <v>56</v>
      </c>
      <c r="AL387" s="1">
        <v>41</v>
      </c>
      <c r="AM387" s="1">
        <v>17.5</v>
      </c>
      <c r="AN387" s="1">
        <v>745</v>
      </c>
      <c r="AO387" s="1">
        <v>545</v>
      </c>
      <c r="AP387" s="1">
        <v>233</v>
      </c>
      <c r="AQ387">
        <f>AL387/AM387</f>
        <v>2.342857142857143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2</v>
      </c>
      <c r="BE387" s="1">
        <v>1</v>
      </c>
      <c r="BF387" s="1">
        <v>1</v>
      </c>
      <c r="BG387" s="1">
        <v>14</v>
      </c>
      <c r="BH387" s="1">
        <v>50744.01</v>
      </c>
      <c r="BI387" s="1">
        <v>0</v>
      </c>
      <c r="BJ387" s="1">
        <v>1</v>
      </c>
    </row>
    <row r="388" spans="1:62" x14ac:dyDescent="0.3">
      <c r="A388">
        <v>1</v>
      </c>
      <c r="B388">
        <v>387</v>
      </c>
      <c r="C388" t="s">
        <v>62</v>
      </c>
      <c r="D388">
        <v>0</v>
      </c>
      <c r="E388" s="2" t="s">
        <v>159</v>
      </c>
      <c r="F388" s="4" t="s">
        <v>123</v>
      </c>
      <c r="G388" s="1">
        <v>0</v>
      </c>
      <c r="H388" s="1">
        <v>1</v>
      </c>
      <c r="I388" s="1">
        <v>2</v>
      </c>
      <c r="J388" s="1" t="s">
        <v>194</v>
      </c>
      <c r="K388" s="1">
        <v>26.89</v>
      </c>
      <c r="L388" s="1">
        <v>0</v>
      </c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1</v>
      </c>
      <c r="Y388" s="1">
        <v>0</v>
      </c>
      <c r="Z388" s="1">
        <v>2</v>
      </c>
      <c r="AA388" s="1">
        <v>1.4</v>
      </c>
      <c r="AB388" s="1">
        <v>14.18</v>
      </c>
      <c r="AC388" s="1">
        <v>50</v>
      </c>
      <c r="AD388">
        <f>AB388*100/AC388</f>
        <v>28.36</v>
      </c>
      <c r="AE388" s="1">
        <v>5</v>
      </c>
      <c r="AF388" s="1">
        <v>621</v>
      </c>
      <c r="AG388" s="1">
        <v>16.8</v>
      </c>
      <c r="AH388" s="1">
        <v>10.9</v>
      </c>
      <c r="AI388" s="1">
        <v>5</v>
      </c>
      <c r="AJ388" s="1">
        <v>5.23</v>
      </c>
      <c r="AK388">
        <v>58.7</v>
      </c>
      <c r="AL388" s="1">
        <v>29.1</v>
      </c>
      <c r="AM388" s="1">
        <v>30.9</v>
      </c>
      <c r="AN388" s="1">
        <v>822</v>
      </c>
      <c r="AO388" s="1">
        <v>407</v>
      </c>
      <c r="AP388" s="1">
        <v>433</v>
      </c>
      <c r="AQ388">
        <f>AL388/AM388</f>
        <v>0.94174757281553412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2</v>
      </c>
      <c r="BE388" s="1">
        <v>1</v>
      </c>
      <c r="BF388" s="1">
        <v>1</v>
      </c>
      <c r="BG388" s="1">
        <v>10</v>
      </c>
      <c r="BH388">
        <f>11747.98+9055+630+140+434+480+3600+410+640.78</f>
        <v>27137.759999999998</v>
      </c>
      <c r="BI388" s="1">
        <v>1</v>
      </c>
      <c r="BJ388" s="1">
        <v>0</v>
      </c>
    </row>
    <row r="389" spans="1:62" x14ac:dyDescent="0.3">
      <c r="A389">
        <v>1</v>
      </c>
      <c r="B389" s="1">
        <v>388</v>
      </c>
      <c r="C389" t="s">
        <v>60</v>
      </c>
      <c r="D389">
        <v>0</v>
      </c>
      <c r="E389" s="2" t="s">
        <v>154</v>
      </c>
      <c r="F389" s="4" t="s">
        <v>85</v>
      </c>
      <c r="G389" s="1">
        <v>0</v>
      </c>
      <c r="H389" s="1">
        <v>0</v>
      </c>
      <c r="I389" s="1">
        <v>2</v>
      </c>
      <c r="J389" s="1" t="s">
        <v>192</v>
      </c>
      <c r="K389">
        <v>22.66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1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1</v>
      </c>
      <c r="Y389" s="1">
        <v>0</v>
      </c>
      <c r="Z389" s="1">
        <v>1</v>
      </c>
      <c r="AA389" s="1">
        <v>0.9</v>
      </c>
      <c r="AB389" s="1">
        <v>11.89</v>
      </c>
      <c r="AC389" s="1">
        <v>21</v>
      </c>
      <c r="AD389">
        <f>AB389*100/AC389</f>
        <v>56.61904761904762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2</v>
      </c>
      <c r="BE389" s="1">
        <v>0</v>
      </c>
      <c r="BF389" s="1">
        <v>0</v>
      </c>
      <c r="BG389" s="1">
        <v>16</v>
      </c>
      <c r="BH389">
        <f>9675.6+4804+1414+70+2398+928+672+800+333.3</f>
        <v>21094.899999999998</v>
      </c>
      <c r="BI389" s="1">
        <v>0</v>
      </c>
      <c r="BJ389" s="1">
        <v>0</v>
      </c>
    </row>
    <row r="390" spans="1:62" x14ac:dyDescent="0.3">
      <c r="A390" s="1">
        <v>1</v>
      </c>
      <c r="B390" s="1">
        <v>389</v>
      </c>
      <c r="C390" s="1" t="s">
        <v>60</v>
      </c>
      <c r="D390">
        <v>0</v>
      </c>
      <c r="E390" s="6">
        <v>42761</v>
      </c>
      <c r="F390" s="1" t="s">
        <v>52</v>
      </c>
      <c r="G390" s="1">
        <v>0</v>
      </c>
      <c r="H390" s="1">
        <v>1</v>
      </c>
      <c r="I390" s="1">
        <v>2</v>
      </c>
      <c r="J390" s="1" t="s">
        <v>193</v>
      </c>
      <c r="K390" s="1">
        <v>20.02</v>
      </c>
      <c r="L390" s="1">
        <v>0</v>
      </c>
      <c r="M390" s="1">
        <v>0</v>
      </c>
      <c r="N390" s="1">
        <v>0</v>
      </c>
      <c r="O390" s="1">
        <v>1</v>
      </c>
      <c r="P390" s="1">
        <v>1</v>
      </c>
      <c r="Q390" s="1">
        <v>1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2</v>
      </c>
      <c r="AA390">
        <v>0.67196</v>
      </c>
      <c r="AB390" s="1">
        <v>26.27</v>
      </c>
      <c r="AC390" s="1">
        <v>61</v>
      </c>
      <c r="AD390">
        <f>AB390*100/AC390</f>
        <v>43.065573770491802</v>
      </c>
      <c r="AE390" s="1">
        <v>5</v>
      </c>
      <c r="AF390" s="1">
        <v>511</v>
      </c>
      <c r="AG390" s="1">
        <v>4.17</v>
      </c>
      <c r="AH390" s="1">
        <v>28.7</v>
      </c>
      <c r="AI390" s="1">
        <v>7.03</v>
      </c>
      <c r="AJ390" s="1">
        <v>8.07</v>
      </c>
      <c r="AK390" s="1">
        <v>78</v>
      </c>
      <c r="AL390" s="1">
        <v>44.7</v>
      </c>
      <c r="AM390" s="1">
        <v>28.4</v>
      </c>
      <c r="AN390" s="1">
        <v>523</v>
      </c>
      <c r="AO390" s="1">
        <v>299</v>
      </c>
      <c r="AP390" s="1">
        <v>190</v>
      </c>
      <c r="AQ390">
        <f t="shared" ref="AQ390:AQ396" si="10">AL390/AM390</f>
        <v>1.5739436619718312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3</v>
      </c>
      <c r="BE390" s="1">
        <v>1</v>
      </c>
      <c r="BF390" s="1">
        <v>1</v>
      </c>
      <c r="BG390" s="1">
        <v>13</v>
      </c>
      <c r="BH390" s="1">
        <v>31325.19</v>
      </c>
      <c r="BI390" s="1">
        <v>1</v>
      </c>
      <c r="BJ390" s="1">
        <v>1</v>
      </c>
    </row>
    <row r="391" spans="1:62" x14ac:dyDescent="0.3">
      <c r="A391">
        <v>1</v>
      </c>
      <c r="B391">
        <v>390</v>
      </c>
      <c r="C391" t="s">
        <v>57</v>
      </c>
      <c r="D391">
        <v>0</v>
      </c>
      <c r="E391" s="2">
        <v>43496</v>
      </c>
      <c r="F391" t="s">
        <v>85</v>
      </c>
      <c r="G391" s="1">
        <v>0</v>
      </c>
      <c r="H391" s="1">
        <v>0</v>
      </c>
      <c r="I391" s="1">
        <v>2</v>
      </c>
      <c r="J391" s="1" t="s">
        <v>191</v>
      </c>
      <c r="K391" s="1">
        <v>20.28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1</v>
      </c>
      <c r="R391" s="1">
        <v>1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1</v>
      </c>
      <c r="Y391" s="1">
        <v>0</v>
      </c>
      <c r="Z391" s="1">
        <v>2</v>
      </c>
      <c r="AA391" s="1">
        <v>0.2</v>
      </c>
      <c r="AK391">
        <v>89.7</v>
      </c>
      <c r="AL391">
        <v>35.9</v>
      </c>
      <c r="AM391">
        <v>40.5</v>
      </c>
      <c r="AN391">
        <v>179</v>
      </c>
      <c r="AO391">
        <v>72</v>
      </c>
      <c r="AP391">
        <v>81</v>
      </c>
      <c r="AQ391">
        <f t="shared" si="10"/>
        <v>0.88641975308641974</v>
      </c>
      <c r="AR391">
        <v>1</v>
      </c>
      <c r="AS391">
        <v>0</v>
      </c>
      <c r="AT391">
        <v>0</v>
      </c>
      <c r="AU391">
        <v>0</v>
      </c>
      <c r="AV391">
        <v>0</v>
      </c>
      <c r="AW391">
        <v>1</v>
      </c>
      <c r="AX391">
        <v>0</v>
      </c>
      <c r="AY391">
        <v>0</v>
      </c>
      <c r="AZ391">
        <v>0</v>
      </c>
      <c r="BA391">
        <v>0</v>
      </c>
      <c r="BB391">
        <v>1</v>
      </c>
      <c r="BC391">
        <v>0</v>
      </c>
      <c r="BD391">
        <v>1</v>
      </c>
      <c r="BE391" s="1">
        <v>0</v>
      </c>
      <c r="BF391" s="1">
        <v>0</v>
      </c>
      <c r="BG391" s="1">
        <v>14</v>
      </c>
      <c r="BH391">
        <f>9666.14+7850+280+377+783+567+675+159.6</f>
        <v>20357.739999999998</v>
      </c>
      <c r="BI391" s="1">
        <v>0</v>
      </c>
      <c r="BJ391" s="1">
        <v>1</v>
      </c>
    </row>
    <row r="392" spans="1:62" x14ac:dyDescent="0.3">
      <c r="A392" s="1">
        <v>1</v>
      </c>
      <c r="B392" s="1">
        <v>391</v>
      </c>
      <c r="C392" s="1" t="s">
        <v>54</v>
      </c>
      <c r="D392">
        <v>0</v>
      </c>
      <c r="E392" s="6">
        <v>43072</v>
      </c>
      <c r="F392" s="1" t="s">
        <v>52</v>
      </c>
      <c r="G392" s="1">
        <v>0</v>
      </c>
      <c r="H392" s="1">
        <v>1</v>
      </c>
      <c r="I392" s="1">
        <v>1</v>
      </c>
      <c r="J392" s="1" t="s">
        <v>193</v>
      </c>
      <c r="K392" s="1">
        <v>15.21</v>
      </c>
      <c r="L392" s="1">
        <v>2</v>
      </c>
      <c r="M392" s="1">
        <v>1</v>
      </c>
      <c r="N392" s="1">
        <v>1</v>
      </c>
      <c r="O392" s="1">
        <v>0</v>
      </c>
      <c r="P392" s="1">
        <v>1</v>
      </c>
      <c r="Q392" s="1">
        <v>0</v>
      </c>
      <c r="R392" s="1">
        <v>0</v>
      </c>
      <c r="S392" s="1">
        <v>0</v>
      </c>
      <c r="T392" s="1">
        <v>1</v>
      </c>
      <c r="U392" s="1">
        <v>0</v>
      </c>
      <c r="V392" s="1">
        <v>1</v>
      </c>
      <c r="W392" s="1">
        <v>0</v>
      </c>
      <c r="X392" s="1">
        <v>0</v>
      </c>
      <c r="Y392" s="1">
        <v>0</v>
      </c>
      <c r="Z392" s="1">
        <v>2</v>
      </c>
      <c r="AA392">
        <v>0.27085999999999999</v>
      </c>
      <c r="AB392" s="1">
        <v>16.13</v>
      </c>
      <c r="AC392" s="1">
        <v>33</v>
      </c>
      <c r="AD392">
        <f>AB392*100/AC392</f>
        <v>48.878787878787875</v>
      </c>
      <c r="AE392" s="1">
        <v>5</v>
      </c>
      <c r="AF392" s="1">
        <v>1670</v>
      </c>
      <c r="AG392" s="1">
        <v>15.9</v>
      </c>
      <c r="AH392" s="1">
        <v>14.9</v>
      </c>
      <c r="AI392" s="1">
        <v>5.73</v>
      </c>
      <c r="AJ392" s="1">
        <v>13.7</v>
      </c>
      <c r="AK392" s="1">
        <v>78.7</v>
      </c>
      <c r="AL392" s="1">
        <v>31.1</v>
      </c>
      <c r="AM392" s="1">
        <v>49.9</v>
      </c>
      <c r="AN392" s="1">
        <v>488</v>
      </c>
      <c r="AO392" s="1">
        <v>193</v>
      </c>
      <c r="AP392" s="1">
        <v>309</v>
      </c>
      <c r="AQ392">
        <f t="shared" si="10"/>
        <v>0.62324649298597201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1</v>
      </c>
      <c r="BE392" s="1">
        <v>0</v>
      </c>
      <c r="BF392" s="1">
        <v>1</v>
      </c>
      <c r="BG392" s="1">
        <v>16</v>
      </c>
      <c r="BH392" s="1">
        <v>55267.63</v>
      </c>
      <c r="BI392" s="1">
        <v>0</v>
      </c>
      <c r="BJ392" s="1">
        <v>0</v>
      </c>
    </row>
    <row r="393" spans="1:62" x14ac:dyDescent="0.3">
      <c r="A393">
        <v>1</v>
      </c>
      <c r="B393">
        <v>392</v>
      </c>
      <c r="C393" s="1" t="s">
        <v>60</v>
      </c>
      <c r="D393">
        <v>0</v>
      </c>
      <c r="E393" s="2">
        <v>43509</v>
      </c>
      <c r="F393" t="s">
        <v>53</v>
      </c>
      <c r="G393" s="1">
        <v>0</v>
      </c>
      <c r="H393" s="1">
        <v>0</v>
      </c>
      <c r="I393" s="1">
        <v>2</v>
      </c>
      <c r="J393" s="1" t="s">
        <v>193</v>
      </c>
      <c r="K393" s="1">
        <v>23.36</v>
      </c>
      <c r="L393" s="1">
        <v>0</v>
      </c>
      <c r="M393" s="1">
        <v>1</v>
      </c>
      <c r="N393" s="1">
        <v>1</v>
      </c>
      <c r="O393" s="1">
        <v>0</v>
      </c>
      <c r="P393" s="1">
        <v>1</v>
      </c>
      <c r="Q393" s="1">
        <v>0</v>
      </c>
      <c r="R393" s="1">
        <v>1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1</v>
      </c>
      <c r="AA393" s="1">
        <v>0.46</v>
      </c>
      <c r="AB393" s="1">
        <v>16.02</v>
      </c>
      <c r="AC393" s="1">
        <v>41</v>
      </c>
      <c r="AD393">
        <f>AB393*100/AC393</f>
        <v>39.073170731707314</v>
      </c>
      <c r="AK393">
        <v>68.2</v>
      </c>
      <c r="AL393">
        <v>50.4</v>
      </c>
      <c r="AM393">
        <v>18.100000000000001</v>
      </c>
      <c r="AQ393">
        <f t="shared" si="10"/>
        <v>2.784530386740331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1</v>
      </c>
      <c r="BE393" s="1">
        <v>0</v>
      </c>
      <c r="BF393" s="1">
        <v>0</v>
      </c>
      <c r="BG393" s="1">
        <v>14</v>
      </c>
      <c r="BH393">
        <f>39052.21+7651+3959+1320+474+530+812+718+700+698.78</f>
        <v>55914.99</v>
      </c>
      <c r="BI393" s="1">
        <v>0</v>
      </c>
      <c r="BJ393" s="1">
        <v>0</v>
      </c>
    </row>
    <row r="394" spans="1:62" x14ac:dyDescent="0.3">
      <c r="A394" s="1">
        <v>1</v>
      </c>
      <c r="B394" s="1">
        <v>393</v>
      </c>
      <c r="C394" s="1" t="s">
        <v>87</v>
      </c>
      <c r="D394">
        <v>0</v>
      </c>
      <c r="E394" s="6">
        <v>43129</v>
      </c>
      <c r="F394" s="1" t="s">
        <v>61</v>
      </c>
      <c r="G394" s="1">
        <v>0</v>
      </c>
      <c r="H394" s="1">
        <v>1</v>
      </c>
      <c r="I394" s="1">
        <v>2</v>
      </c>
      <c r="J394" s="1" t="s">
        <v>191</v>
      </c>
      <c r="K394" s="1">
        <v>22.68</v>
      </c>
      <c r="L394" s="1">
        <v>0</v>
      </c>
      <c r="M394" s="1">
        <v>1</v>
      </c>
      <c r="N394" s="1">
        <v>1</v>
      </c>
      <c r="O394" s="1">
        <v>0</v>
      </c>
      <c r="P394" s="1">
        <v>1</v>
      </c>
      <c r="Q394" s="1">
        <v>0</v>
      </c>
      <c r="R394" s="1">
        <v>1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2</v>
      </c>
      <c r="AA394">
        <v>0.70829999999999993</v>
      </c>
      <c r="AB394" s="1">
        <v>10.19</v>
      </c>
      <c r="AC394" s="1">
        <v>100</v>
      </c>
      <c r="AD394">
        <f>AB394*100/AC394</f>
        <v>10.19</v>
      </c>
      <c r="AE394" s="1">
        <v>5</v>
      </c>
      <c r="AF394" s="1">
        <v>1165</v>
      </c>
      <c r="AG394" s="1">
        <v>31.9</v>
      </c>
      <c r="AH394" s="1">
        <v>54.3</v>
      </c>
      <c r="AI394" s="1">
        <v>15.3</v>
      </c>
      <c r="AK394" s="1">
        <v>86.5</v>
      </c>
      <c r="AL394" s="1">
        <v>36.6</v>
      </c>
      <c r="AM394" s="1">
        <v>50.5</v>
      </c>
      <c r="AN394" s="1">
        <v>353</v>
      </c>
      <c r="AO394" s="1">
        <v>267</v>
      </c>
      <c r="AP394" s="1">
        <v>89</v>
      </c>
      <c r="AQ394">
        <f t="shared" si="10"/>
        <v>0.72475247524752473</v>
      </c>
      <c r="AR394" s="1">
        <v>1</v>
      </c>
      <c r="AS394" s="1">
        <v>1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3</v>
      </c>
      <c r="BE394" s="1">
        <v>1</v>
      </c>
      <c r="BF394" s="1">
        <v>1</v>
      </c>
      <c r="BG394" s="1">
        <v>30</v>
      </c>
      <c r="BH394" s="1">
        <v>55979.42</v>
      </c>
      <c r="BI394" s="1">
        <v>1</v>
      </c>
      <c r="BJ394" s="1">
        <v>0</v>
      </c>
    </row>
    <row r="395" spans="1:62" x14ac:dyDescent="0.3">
      <c r="A395">
        <v>1</v>
      </c>
      <c r="B395" s="1">
        <v>394</v>
      </c>
      <c r="C395" s="1" t="s">
        <v>141</v>
      </c>
      <c r="D395">
        <v>1</v>
      </c>
      <c r="E395" s="2">
        <v>43508</v>
      </c>
      <c r="F395" t="s">
        <v>85</v>
      </c>
      <c r="G395" s="1">
        <v>0</v>
      </c>
      <c r="H395" s="1">
        <v>0</v>
      </c>
      <c r="I395" s="1">
        <v>3</v>
      </c>
      <c r="J395" s="1" t="s">
        <v>189</v>
      </c>
      <c r="K395" s="1">
        <v>18.66</v>
      </c>
      <c r="L395" s="1">
        <v>0</v>
      </c>
      <c r="M395" s="1">
        <v>0</v>
      </c>
      <c r="N395" s="1">
        <v>0</v>
      </c>
      <c r="O395" s="1">
        <v>1</v>
      </c>
      <c r="P395" s="1">
        <v>1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1</v>
      </c>
      <c r="X395" s="1">
        <v>1</v>
      </c>
      <c r="Y395" s="1">
        <v>0</v>
      </c>
      <c r="Z395" s="1">
        <v>1</v>
      </c>
      <c r="AA395" s="1">
        <v>0.99</v>
      </c>
      <c r="AK395">
        <v>92.4</v>
      </c>
      <c r="AL395">
        <v>28.9</v>
      </c>
      <c r="AM395">
        <v>61.7</v>
      </c>
      <c r="AN395">
        <v>832</v>
      </c>
      <c r="AO395">
        <v>260</v>
      </c>
      <c r="AP395">
        <v>555</v>
      </c>
      <c r="AQ395">
        <f t="shared" si="10"/>
        <v>0.46839546191247972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1</v>
      </c>
      <c r="BE395" s="1">
        <v>0</v>
      </c>
      <c r="BF395" s="1">
        <v>0</v>
      </c>
      <c r="BG395" s="1">
        <v>33</v>
      </c>
      <c r="BH395">
        <f>22907.22+28.95+16319+7542+70+662+64+1914+1794+1650+3406.47</f>
        <v>56357.64</v>
      </c>
      <c r="BI395" s="1">
        <v>1</v>
      </c>
      <c r="BJ395" s="1">
        <v>1</v>
      </c>
    </row>
    <row r="396" spans="1:62" x14ac:dyDescent="0.3">
      <c r="A396">
        <v>1</v>
      </c>
      <c r="B396">
        <v>395</v>
      </c>
      <c r="C396" t="s">
        <v>69</v>
      </c>
      <c r="D396">
        <v>0</v>
      </c>
      <c r="E396" s="2" t="s">
        <v>153</v>
      </c>
      <c r="F396" s="4" t="s">
        <v>67</v>
      </c>
      <c r="G396" s="1">
        <v>0</v>
      </c>
      <c r="H396" s="1">
        <v>0</v>
      </c>
      <c r="I396" s="1">
        <v>3</v>
      </c>
      <c r="J396" s="1" t="s">
        <v>183</v>
      </c>
      <c r="K396" s="1">
        <v>21.78</v>
      </c>
      <c r="L396" s="1">
        <v>1</v>
      </c>
      <c r="M396" s="1">
        <v>0</v>
      </c>
      <c r="N396" s="1">
        <v>0</v>
      </c>
      <c r="O396" s="1">
        <v>0</v>
      </c>
      <c r="P396" s="1">
        <v>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1</v>
      </c>
      <c r="AA396" s="1">
        <v>1.02</v>
      </c>
      <c r="AK396">
        <v>77.8</v>
      </c>
      <c r="AL396">
        <v>30.6</v>
      </c>
      <c r="AM396">
        <v>45.8</v>
      </c>
      <c r="AN396">
        <v>794</v>
      </c>
      <c r="AO396">
        <v>312</v>
      </c>
      <c r="AP396">
        <v>467</v>
      </c>
      <c r="AQ396">
        <f t="shared" si="10"/>
        <v>0.66812227074235819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1</v>
      </c>
      <c r="BD396">
        <v>1</v>
      </c>
      <c r="BE396" s="1">
        <v>0</v>
      </c>
      <c r="BF396" s="1">
        <v>0</v>
      </c>
      <c r="BG396" s="1">
        <v>42</v>
      </c>
      <c r="BH396">
        <f>30682.71+61.62+15113+1726+1138+2436+2538+2100+970.2</f>
        <v>56765.53</v>
      </c>
      <c r="BI396" s="1">
        <v>0</v>
      </c>
      <c r="BJ396" s="1">
        <v>0</v>
      </c>
    </row>
    <row r="397" spans="1:62" x14ac:dyDescent="0.3">
      <c r="A397" s="1">
        <v>1</v>
      </c>
      <c r="B397" s="1">
        <v>396</v>
      </c>
      <c r="C397" s="1" t="s">
        <v>57</v>
      </c>
      <c r="D397">
        <v>0</v>
      </c>
      <c r="E397" s="6">
        <v>43261</v>
      </c>
      <c r="F397" s="1" t="s">
        <v>121</v>
      </c>
      <c r="G397" s="1">
        <v>0</v>
      </c>
      <c r="H397" s="1">
        <v>0</v>
      </c>
      <c r="I397" s="1">
        <v>2</v>
      </c>
      <c r="J397" s="1" t="s">
        <v>191</v>
      </c>
      <c r="K397" s="1">
        <v>31.55</v>
      </c>
      <c r="L397" s="1">
        <v>1</v>
      </c>
      <c r="M397" s="1">
        <v>1</v>
      </c>
      <c r="N397" s="1">
        <v>1</v>
      </c>
      <c r="O397" s="1">
        <v>0</v>
      </c>
      <c r="P397" s="1">
        <v>0</v>
      </c>
      <c r="Q397" s="1">
        <v>1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1</v>
      </c>
      <c r="AA397">
        <v>2.1212600000000004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 s="1">
        <v>0</v>
      </c>
      <c r="BE397" s="1">
        <v>0</v>
      </c>
      <c r="BF397" s="1">
        <v>0</v>
      </c>
      <c r="BG397" s="1">
        <v>11</v>
      </c>
      <c r="BH397" s="1">
        <v>33793.279999999999</v>
      </c>
      <c r="BI397" s="1">
        <v>0</v>
      </c>
      <c r="BJ397" s="1">
        <v>0</v>
      </c>
    </row>
    <row r="398" spans="1:62" x14ac:dyDescent="0.3">
      <c r="A398">
        <v>1</v>
      </c>
      <c r="B398">
        <v>397</v>
      </c>
      <c r="C398" s="1" t="s">
        <v>60</v>
      </c>
      <c r="D398">
        <v>0</v>
      </c>
      <c r="E398" s="2">
        <v>43508</v>
      </c>
      <c r="F398" t="s">
        <v>121</v>
      </c>
      <c r="G398" s="1">
        <v>1</v>
      </c>
      <c r="H398" s="1">
        <v>1</v>
      </c>
      <c r="I398" s="1">
        <v>2</v>
      </c>
      <c r="J398" s="1" t="s">
        <v>196</v>
      </c>
      <c r="K398" s="1">
        <v>24.44</v>
      </c>
      <c r="L398" s="1">
        <v>2</v>
      </c>
      <c r="M398" s="1">
        <v>0</v>
      </c>
      <c r="N398" s="1">
        <v>0</v>
      </c>
      <c r="O398" s="1">
        <v>1</v>
      </c>
      <c r="P398" s="1">
        <v>1</v>
      </c>
      <c r="Q398" s="1">
        <v>1</v>
      </c>
      <c r="R398" s="1">
        <v>1</v>
      </c>
      <c r="S398" s="1">
        <v>0</v>
      </c>
      <c r="T398" s="1">
        <v>0</v>
      </c>
      <c r="U398" s="1">
        <v>0</v>
      </c>
      <c r="V398" s="1">
        <v>1</v>
      </c>
      <c r="W398" s="1">
        <v>0</v>
      </c>
      <c r="X398" s="1">
        <v>0</v>
      </c>
      <c r="Y398" s="1">
        <v>0</v>
      </c>
      <c r="Z398" s="1">
        <v>2</v>
      </c>
      <c r="AA398" s="1">
        <v>1.03</v>
      </c>
      <c r="AB398" s="1">
        <v>7.18</v>
      </c>
      <c r="AC398" s="1">
        <v>33</v>
      </c>
      <c r="AD398">
        <f>AB398*100/AC398</f>
        <v>21.757575757575758</v>
      </c>
      <c r="AK398">
        <v>61.9</v>
      </c>
      <c r="AL398">
        <v>46.1</v>
      </c>
      <c r="AM398">
        <v>13.3</v>
      </c>
      <c r="AQ398">
        <f>AL398/AM398</f>
        <v>3.4661654135338344</v>
      </c>
      <c r="AR398">
        <v>1</v>
      </c>
      <c r="AS398">
        <v>0</v>
      </c>
      <c r="AT398">
        <v>0</v>
      </c>
      <c r="AU398">
        <v>1</v>
      </c>
      <c r="AV398">
        <v>0</v>
      </c>
      <c r="AW398">
        <v>0</v>
      </c>
      <c r="AX398">
        <v>1</v>
      </c>
      <c r="AY398">
        <v>1</v>
      </c>
      <c r="AZ398">
        <v>0</v>
      </c>
      <c r="BA398">
        <v>0</v>
      </c>
      <c r="BB398">
        <v>1</v>
      </c>
      <c r="BC398">
        <v>0</v>
      </c>
      <c r="BD398">
        <v>3</v>
      </c>
      <c r="BE398" s="1">
        <v>0</v>
      </c>
      <c r="BF398" s="1">
        <v>0</v>
      </c>
      <c r="BG398" s="1">
        <v>86</v>
      </c>
      <c r="BH398">
        <f>156807.9+2709.17+71104+27588+140+20032+8474+18500+9861+9250+1200.05</f>
        <v>325666.12</v>
      </c>
      <c r="BI398" s="1">
        <v>0</v>
      </c>
      <c r="BJ398" s="1">
        <v>1</v>
      </c>
    </row>
    <row r="399" spans="1:62" x14ac:dyDescent="0.3">
      <c r="A399">
        <v>1</v>
      </c>
      <c r="B399" s="1">
        <v>398</v>
      </c>
      <c r="C399" s="1" t="s">
        <v>60</v>
      </c>
      <c r="D399">
        <v>0</v>
      </c>
      <c r="E399" s="2">
        <v>43510</v>
      </c>
      <c r="F399" t="s">
        <v>64</v>
      </c>
      <c r="G399" s="1">
        <v>0</v>
      </c>
      <c r="H399" s="1">
        <v>1</v>
      </c>
      <c r="I399" s="1">
        <v>2</v>
      </c>
      <c r="J399" s="1" t="s">
        <v>190</v>
      </c>
      <c r="K399" s="1">
        <v>17.920000000000002</v>
      </c>
      <c r="L399" s="1">
        <v>0</v>
      </c>
      <c r="M399" s="1">
        <v>1</v>
      </c>
      <c r="N399" s="1">
        <v>1</v>
      </c>
      <c r="O399" s="1">
        <v>1</v>
      </c>
      <c r="P399" s="1">
        <v>1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1</v>
      </c>
      <c r="Z399" s="1">
        <v>2</v>
      </c>
      <c r="AA399" s="1">
        <v>0.69</v>
      </c>
      <c r="AB399" s="1">
        <v>11.37</v>
      </c>
      <c r="AC399" s="1">
        <v>33</v>
      </c>
      <c r="AD399">
        <f>AB399*100/AC399</f>
        <v>34.454545454545453</v>
      </c>
      <c r="AE399" s="1">
        <v>10.4</v>
      </c>
      <c r="AF399" s="1">
        <v>1567</v>
      </c>
      <c r="AG399" s="1">
        <v>54</v>
      </c>
      <c r="AH399" s="1">
        <v>18.100000000000001</v>
      </c>
      <c r="AI399" s="1">
        <v>36.799999999999997</v>
      </c>
      <c r="AJ399" s="1">
        <v>18.2</v>
      </c>
      <c r="AK399">
        <v>58.8</v>
      </c>
      <c r="AL399">
        <v>31.2</v>
      </c>
      <c r="AM399">
        <v>27.3</v>
      </c>
      <c r="AQ399">
        <f>AL399/AM399</f>
        <v>1.1428571428571428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 s="1">
        <v>0</v>
      </c>
      <c r="BF399" s="1">
        <v>0</v>
      </c>
      <c r="BG399" s="1">
        <v>31</v>
      </c>
      <c r="BH399">
        <f>29641.49+28.95+16248+3021+70+1637+472+1464+1754+2304+1525</f>
        <v>58165.440000000002</v>
      </c>
      <c r="BI399" s="1">
        <v>1</v>
      </c>
      <c r="BJ399" s="1">
        <v>1</v>
      </c>
    </row>
    <row r="400" spans="1:62" x14ac:dyDescent="0.3">
      <c r="A400" s="1">
        <v>1</v>
      </c>
      <c r="B400" s="1">
        <v>399</v>
      </c>
      <c r="C400" s="1" t="s">
        <v>69</v>
      </c>
      <c r="D400">
        <v>0</v>
      </c>
      <c r="E400" s="6">
        <v>43125</v>
      </c>
      <c r="F400" s="1" t="s">
        <v>93</v>
      </c>
      <c r="G400" s="1">
        <v>0</v>
      </c>
      <c r="H400" s="1">
        <v>0</v>
      </c>
      <c r="I400" s="1">
        <v>2</v>
      </c>
      <c r="J400" s="1" t="s">
        <v>195</v>
      </c>
      <c r="K400" s="1">
        <v>25.1</v>
      </c>
      <c r="L400" s="1">
        <v>0</v>
      </c>
      <c r="M400" s="1">
        <v>1</v>
      </c>
      <c r="N400" s="1">
        <v>0</v>
      </c>
      <c r="O400" s="1">
        <v>0</v>
      </c>
      <c r="P400" s="1">
        <v>1</v>
      </c>
      <c r="Q400" s="1">
        <v>1</v>
      </c>
      <c r="R400" s="1">
        <v>0</v>
      </c>
      <c r="S400" s="1">
        <v>0</v>
      </c>
      <c r="T400" s="1">
        <v>0</v>
      </c>
      <c r="U400" s="1">
        <v>0</v>
      </c>
      <c r="V400" s="1">
        <v>1</v>
      </c>
      <c r="W400" s="1">
        <v>0</v>
      </c>
      <c r="X400" s="1">
        <v>0</v>
      </c>
      <c r="Y400" s="1">
        <v>0</v>
      </c>
      <c r="Z400" s="1">
        <v>2</v>
      </c>
      <c r="AA400">
        <v>0.93807999999999991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1</v>
      </c>
      <c r="BE400" s="1">
        <v>0</v>
      </c>
      <c r="BF400" s="1">
        <v>0</v>
      </c>
      <c r="BG400" s="1">
        <v>20</v>
      </c>
      <c r="BH400" s="1">
        <v>25091.86</v>
      </c>
      <c r="BI400" s="1">
        <v>0</v>
      </c>
      <c r="BJ400" s="1">
        <v>0</v>
      </c>
    </row>
    <row r="401" spans="1:62" x14ac:dyDescent="0.3">
      <c r="A401" s="1">
        <v>1</v>
      </c>
      <c r="B401">
        <v>400</v>
      </c>
      <c r="C401" s="1" t="s">
        <v>49</v>
      </c>
      <c r="D401">
        <v>0</v>
      </c>
      <c r="E401" s="6">
        <v>42772</v>
      </c>
      <c r="F401" s="1" t="s">
        <v>52</v>
      </c>
      <c r="G401" s="1">
        <v>0</v>
      </c>
      <c r="H401" s="1">
        <v>1</v>
      </c>
      <c r="I401" s="1">
        <v>3</v>
      </c>
      <c r="J401" s="1" t="s">
        <v>186</v>
      </c>
      <c r="K401" s="1">
        <v>22.96</v>
      </c>
      <c r="L401" s="1">
        <v>0</v>
      </c>
      <c r="M401" s="1">
        <v>1</v>
      </c>
      <c r="N401" s="1">
        <v>1</v>
      </c>
      <c r="O401" s="1">
        <v>1</v>
      </c>
      <c r="P401" s="1">
        <v>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2</v>
      </c>
      <c r="AA401">
        <v>0.82156000000000007</v>
      </c>
      <c r="AB401" s="1">
        <v>8.51</v>
      </c>
      <c r="AC401" s="1">
        <v>87</v>
      </c>
      <c r="AD401">
        <f>AB401*100/AC401</f>
        <v>9.7816091954022983</v>
      </c>
      <c r="AE401" s="1">
        <v>5</v>
      </c>
      <c r="AF401" s="1">
        <v>1015</v>
      </c>
      <c r="AG401" s="1">
        <v>6.22</v>
      </c>
      <c r="AH401" s="1">
        <v>17.899999999999999</v>
      </c>
      <c r="AI401" s="1">
        <v>6.89</v>
      </c>
      <c r="AJ401" s="1">
        <v>6.99</v>
      </c>
      <c r="AK401" s="1">
        <v>40.299999999999997</v>
      </c>
      <c r="AL401" s="1">
        <v>17.600000000000001</v>
      </c>
      <c r="AM401" s="1">
        <v>20</v>
      </c>
      <c r="AN401" s="1">
        <v>399</v>
      </c>
      <c r="AO401" s="1">
        <v>174</v>
      </c>
      <c r="AP401" s="1">
        <v>198</v>
      </c>
      <c r="AQ401">
        <f>AL401/AM401</f>
        <v>0.88000000000000012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1</v>
      </c>
      <c r="BE401" s="1">
        <v>1</v>
      </c>
      <c r="BF401" s="1">
        <v>1</v>
      </c>
      <c r="BG401" s="1">
        <v>18</v>
      </c>
      <c r="BH401" s="1">
        <v>58939.08</v>
      </c>
      <c r="BI401" s="1">
        <v>1</v>
      </c>
      <c r="BJ401" s="1">
        <v>1</v>
      </c>
    </row>
    <row r="402" spans="1:62" x14ac:dyDescent="0.3">
      <c r="A402">
        <v>1</v>
      </c>
      <c r="B402" s="1">
        <v>401</v>
      </c>
      <c r="C402" t="s">
        <v>54</v>
      </c>
      <c r="D402">
        <v>0</v>
      </c>
      <c r="E402" s="2" t="s">
        <v>144</v>
      </c>
      <c r="F402" s="4" t="s">
        <v>121</v>
      </c>
      <c r="G402" s="1">
        <v>1</v>
      </c>
      <c r="H402" s="1">
        <v>1</v>
      </c>
      <c r="I402" s="1">
        <v>2</v>
      </c>
      <c r="J402" s="1" t="s">
        <v>195</v>
      </c>
      <c r="K402" s="1">
        <v>23.83</v>
      </c>
      <c r="L402" s="1">
        <v>2</v>
      </c>
      <c r="M402" s="1">
        <v>1</v>
      </c>
      <c r="N402" s="1">
        <v>1</v>
      </c>
      <c r="O402" s="1">
        <v>0</v>
      </c>
      <c r="P402" s="1">
        <v>1</v>
      </c>
      <c r="Q402" s="1">
        <v>0</v>
      </c>
      <c r="R402" s="1">
        <v>0</v>
      </c>
      <c r="S402" s="1">
        <v>0</v>
      </c>
      <c r="T402" s="1">
        <v>1</v>
      </c>
      <c r="U402" s="1">
        <v>1</v>
      </c>
      <c r="V402" s="1">
        <v>0</v>
      </c>
      <c r="W402" s="1">
        <v>0</v>
      </c>
      <c r="X402" s="1">
        <v>0</v>
      </c>
      <c r="Y402" s="1">
        <v>0</v>
      </c>
      <c r="Z402" s="1">
        <v>2</v>
      </c>
      <c r="AA402" s="1">
        <v>0.61</v>
      </c>
      <c r="AB402" s="1">
        <v>9.65</v>
      </c>
      <c r="AC402" s="1">
        <v>41</v>
      </c>
      <c r="AD402">
        <f>AB402*100/AC402</f>
        <v>23.536585365853657</v>
      </c>
      <c r="AK402">
        <v>71.3</v>
      </c>
      <c r="AL402">
        <v>35.6</v>
      </c>
      <c r="AM402">
        <v>35.200000000000003</v>
      </c>
      <c r="AQ402">
        <f>AL402/AM402</f>
        <v>1.0113636363636362</v>
      </c>
      <c r="AR402">
        <v>1</v>
      </c>
      <c r="AS402">
        <v>1</v>
      </c>
      <c r="AT402">
        <v>0</v>
      </c>
      <c r="AU402">
        <v>0</v>
      </c>
      <c r="AV402">
        <v>0</v>
      </c>
      <c r="AW402">
        <v>1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2</v>
      </c>
      <c r="BE402" s="1">
        <v>1</v>
      </c>
      <c r="BF402" s="1">
        <v>0</v>
      </c>
      <c r="BG402" s="1">
        <v>43</v>
      </c>
      <c r="BH402">
        <f>32666.51+259.01+14710+1065+70+1335+2088+2523+1933+2175+292.95</f>
        <v>59117.469999999994</v>
      </c>
      <c r="BI402" s="1">
        <v>0</v>
      </c>
      <c r="BJ402" s="1">
        <v>1</v>
      </c>
    </row>
    <row r="403" spans="1:62" x14ac:dyDescent="0.3">
      <c r="A403" s="1">
        <v>1</v>
      </c>
      <c r="B403">
        <v>402</v>
      </c>
      <c r="C403" s="1" t="s">
        <v>60</v>
      </c>
      <c r="D403">
        <v>0</v>
      </c>
      <c r="E403" s="6">
        <v>42387</v>
      </c>
      <c r="F403" s="1" t="s">
        <v>56</v>
      </c>
      <c r="G403" s="1">
        <v>0</v>
      </c>
      <c r="H403" s="1">
        <v>1</v>
      </c>
      <c r="I403" s="1">
        <v>2</v>
      </c>
      <c r="J403" s="1" t="s">
        <v>194</v>
      </c>
      <c r="K403" s="1">
        <v>22.32</v>
      </c>
      <c r="L403" s="1">
        <v>1</v>
      </c>
      <c r="M403" s="1">
        <v>1</v>
      </c>
      <c r="N403" s="1">
        <v>1</v>
      </c>
      <c r="O403" s="1">
        <v>1</v>
      </c>
      <c r="P403" s="1">
        <v>0</v>
      </c>
      <c r="Q403" s="1">
        <v>0</v>
      </c>
      <c r="R403" s="1">
        <v>1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2</v>
      </c>
      <c r="AA403">
        <v>0.87905999999999995</v>
      </c>
      <c r="AB403" s="1">
        <v>17.79</v>
      </c>
      <c r="AC403" s="1">
        <v>33</v>
      </c>
      <c r="AD403">
        <f>AB403*100/AC403</f>
        <v>53.909090909090907</v>
      </c>
      <c r="AR403" s="1">
        <v>1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1</v>
      </c>
      <c r="BD403" s="1">
        <v>2</v>
      </c>
      <c r="BE403" s="1">
        <v>0</v>
      </c>
      <c r="BF403" s="1">
        <v>0</v>
      </c>
      <c r="BG403" s="1">
        <v>43</v>
      </c>
      <c r="BH403" s="1">
        <v>59629.27</v>
      </c>
      <c r="BI403" s="1">
        <v>0</v>
      </c>
      <c r="BJ403" s="1">
        <v>0</v>
      </c>
    </row>
    <row r="404" spans="1:62" x14ac:dyDescent="0.3">
      <c r="A404" s="1">
        <v>1</v>
      </c>
      <c r="B404" s="1">
        <v>403</v>
      </c>
      <c r="C404" s="1" t="s">
        <v>89</v>
      </c>
      <c r="D404">
        <v>1</v>
      </c>
      <c r="E404" s="6">
        <v>43186</v>
      </c>
      <c r="F404" s="1" t="s">
        <v>52</v>
      </c>
      <c r="G404" s="1">
        <v>0</v>
      </c>
      <c r="H404" s="1">
        <v>1</v>
      </c>
      <c r="I404" s="1">
        <v>3</v>
      </c>
      <c r="J404" s="1" t="s">
        <v>190</v>
      </c>
      <c r="K404" s="1">
        <v>26.35</v>
      </c>
      <c r="L404" s="1">
        <v>1</v>
      </c>
      <c r="M404" s="1">
        <v>1</v>
      </c>
      <c r="N404" s="1">
        <v>1</v>
      </c>
      <c r="O404" s="1">
        <v>1</v>
      </c>
      <c r="P404" s="1"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2</v>
      </c>
      <c r="AA404">
        <v>0.53244000000000002</v>
      </c>
      <c r="AB404" s="1">
        <v>19.36</v>
      </c>
      <c r="AC404" s="1">
        <v>80</v>
      </c>
      <c r="AD404">
        <f>AB404*100/AC404</f>
        <v>24.2</v>
      </c>
      <c r="AE404" s="1">
        <v>5</v>
      </c>
      <c r="AF404" s="1">
        <v>1454</v>
      </c>
      <c r="AG404" s="1">
        <v>84.9</v>
      </c>
      <c r="AH404" s="1">
        <v>16</v>
      </c>
      <c r="AI404" s="1">
        <v>5.31</v>
      </c>
      <c r="AJ404" s="1">
        <v>4.32</v>
      </c>
      <c r="AK404" s="1">
        <v>71.5</v>
      </c>
      <c r="AL404" s="1">
        <v>45.2</v>
      </c>
      <c r="AM404" s="1">
        <v>25.7</v>
      </c>
      <c r="AN404" s="1">
        <v>379</v>
      </c>
      <c r="AO404" s="1">
        <v>240</v>
      </c>
      <c r="AP404" s="1">
        <v>136</v>
      </c>
      <c r="AQ404">
        <f>AL404/AM404</f>
        <v>1.7587548638132298</v>
      </c>
      <c r="AR404" s="1">
        <v>1</v>
      </c>
      <c r="AS404" s="1">
        <v>0</v>
      </c>
      <c r="AT404" s="1">
        <v>1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1</v>
      </c>
      <c r="BE404" s="1">
        <v>1</v>
      </c>
      <c r="BF404" s="1">
        <v>1</v>
      </c>
      <c r="BG404" s="1">
        <v>15</v>
      </c>
      <c r="BH404" s="1">
        <v>59690.720000000001</v>
      </c>
      <c r="BI404" s="1">
        <v>1</v>
      </c>
      <c r="BJ404" s="1">
        <v>1</v>
      </c>
    </row>
    <row r="405" spans="1:62" x14ac:dyDescent="0.3">
      <c r="A405" s="1">
        <v>1</v>
      </c>
      <c r="B405" s="1">
        <v>404</v>
      </c>
      <c r="C405" s="1" t="s">
        <v>49</v>
      </c>
      <c r="D405">
        <v>0</v>
      </c>
      <c r="E405" s="6">
        <v>43068</v>
      </c>
      <c r="F405" s="1" t="s">
        <v>121</v>
      </c>
      <c r="G405" s="1">
        <v>0</v>
      </c>
      <c r="H405" s="1">
        <v>0</v>
      </c>
      <c r="I405" s="1">
        <v>2</v>
      </c>
      <c r="J405" s="1" t="s">
        <v>191</v>
      </c>
      <c r="K405" s="1">
        <v>28.34</v>
      </c>
      <c r="L405" s="1">
        <v>1</v>
      </c>
      <c r="M405" s="1">
        <v>1</v>
      </c>
      <c r="N405" s="1">
        <v>0</v>
      </c>
      <c r="O405" s="1">
        <v>0</v>
      </c>
      <c r="P405" s="1">
        <v>0</v>
      </c>
      <c r="Q405" s="1">
        <v>1</v>
      </c>
      <c r="R405" s="1">
        <v>1</v>
      </c>
      <c r="S405" s="1">
        <v>0</v>
      </c>
      <c r="T405" s="1">
        <v>0</v>
      </c>
      <c r="U405" s="1">
        <v>0</v>
      </c>
      <c r="V405" s="1">
        <v>1</v>
      </c>
      <c r="W405" s="1">
        <v>0</v>
      </c>
      <c r="X405" s="1">
        <v>0</v>
      </c>
      <c r="Y405" s="1">
        <v>0</v>
      </c>
      <c r="Z405" s="1">
        <v>1</v>
      </c>
      <c r="AA405">
        <v>0.82025999999999999</v>
      </c>
      <c r="AK405">
        <v>60</v>
      </c>
      <c r="AL405">
        <v>23.6</v>
      </c>
      <c r="AM405">
        <v>28.4</v>
      </c>
      <c r="AQ405">
        <f>AL405/AM405</f>
        <v>0.83098591549295786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 s="1">
        <v>1</v>
      </c>
      <c r="BE405" s="1">
        <v>0</v>
      </c>
      <c r="BF405" s="1">
        <v>0</v>
      </c>
      <c r="BG405" s="1">
        <v>30</v>
      </c>
      <c r="BH405" s="1">
        <v>60325.78</v>
      </c>
      <c r="BI405" s="1">
        <v>0</v>
      </c>
      <c r="BJ405" s="1">
        <v>0</v>
      </c>
    </row>
    <row r="406" spans="1:62" x14ac:dyDescent="0.3">
      <c r="A406">
        <v>1</v>
      </c>
      <c r="B406">
        <v>405</v>
      </c>
      <c r="C406" s="1" t="s">
        <v>60</v>
      </c>
      <c r="D406">
        <v>0</v>
      </c>
      <c r="E406" s="2">
        <v>43508</v>
      </c>
      <c r="F406" t="s">
        <v>123</v>
      </c>
      <c r="G406" s="1">
        <v>1</v>
      </c>
      <c r="H406" s="1">
        <v>1</v>
      </c>
      <c r="I406" s="1">
        <v>2</v>
      </c>
      <c r="J406" s="1" t="s">
        <v>191</v>
      </c>
      <c r="K406" s="1">
        <v>25.4</v>
      </c>
      <c r="L406" s="1">
        <v>0</v>
      </c>
      <c r="M406" s="1">
        <v>1</v>
      </c>
      <c r="N406" s="1">
        <v>1</v>
      </c>
      <c r="O406" s="1">
        <v>1</v>
      </c>
      <c r="P406" s="1">
        <v>1</v>
      </c>
      <c r="Q406" s="1">
        <v>1</v>
      </c>
      <c r="R406" s="1">
        <v>1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2</v>
      </c>
      <c r="AA406" s="1">
        <v>0.8</v>
      </c>
      <c r="AB406" s="1">
        <v>10.210000000000001</v>
      </c>
      <c r="AC406" s="1">
        <v>100</v>
      </c>
      <c r="AD406">
        <f>AB406*100/AC406</f>
        <v>10.210000000000001</v>
      </c>
      <c r="AE406" s="1">
        <v>5</v>
      </c>
      <c r="AF406" s="1">
        <v>2459</v>
      </c>
      <c r="AG406" s="1">
        <v>32.799999999999997</v>
      </c>
      <c r="AH406" s="1">
        <v>66</v>
      </c>
      <c r="AI406" s="1">
        <v>16.899999999999999</v>
      </c>
      <c r="AJ406" s="1">
        <v>12.1</v>
      </c>
      <c r="AK406">
        <v>61</v>
      </c>
      <c r="AL406">
        <v>44.4</v>
      </c>
      <c r="AM406">
        <v>14.7</v>
      </c>
      <c r="AN406">
        <v>488</v>
      </c>
      <c r="AO406">
        <v>355</v>
      </c>
      <c r="AP406">
        <v>118</v>
      </c>
      <c r="AQ406">
        <f>AL406/AM406</f>
        <v>3.0204081632653064</v>
      </c>
      <c r="AR406">
        <v>1</v>
      </c>
      <c r="AS406">
        <v>1</v>
      </c>
      <c r="AT406">
        <v>1</v>
      </c>
      <c r="AU406">
        <v>0</v>
      </c>
      <c r="AV406">
        <v>0</v>
      </c>
      <c r="AW406">
        <v>0</v>
      </c>
      <c r="AX406">
        <v>1</v>
      </c>
      <c r="AY406">
        <v>0</v>
      </c>
      <c r="AZ406">
        <v>0</v>
      </c>
      <c r="BA406">
        <v>0</v>
      </c>
      <c r="BB406">
        <v>1</v>
      </c>
      <c r="BC406">
        <v>0</v>
      </c>
      <c r="BD406">
        <v>1</v>
      </c>
      <c r="BE406" s="1">
        <v>2</v>
      </c>
      <c r="BF406" s="1">
        <v>1</v>
      </c>
      <c r="BG406" s="1">
        <v>52</v>
      </c>
      <c r="BH406">
        <f>203877.82+237.84+110+53959+5955+1190+25068+172+4992+18720+5330</f>
        <v>319611.66000000003</v>
      </c>
      <c r="BI406" s="1">
        <v>1</v>
      </c>
      <c r="BJ406" s="1">
        <v>1</v>
      </c>
    </row>
    <row r="407" spans="1:62" x14ac:dyDescent="0.3">
      <c r="A407" s="1">
        <v>1</v>
      </c>
      <c r="B407" s="1">
        <v>406</v>
      </c>
      <c r="C407" s="1" t="s">
        <v>74</v>
      </c>
      <c r="D407">
        <v>0</v>
      </c>
      <c r="E407" s="6">
        <v>42985</v>
      </c>
      <c r="F407" s="1" t="s">
        <v>93</v>
      </c>
      <c r="G407" s="1">
        <v>0</v>
      </c>
      <c r="H407" s="1">
        <v>0</v>
      </c>
      <c r="I407" s="1">
        <v>2</v>
      </c>
      <c r="J407" s="1" t="s">
        <v>191</v>
      </c>
      <c r="K407" s="1">
        <v>23.15</v>
      </c>
      <c r="L407" s="1">
        <v>0</v>
      </c>
      <c r="M407" s="1">
        <v>1</v>
      </c>
      <c r="N407" s="1">
        <v>0</v>
      </c>
      <c r="O407" s="1">
        <v>0</v>
      </c>
      <c r="P407" s="1">
        <v>1</v>
      </c>
      <c r="Q407" s="1">
        <v>0</v>
      </c>
      <c r="R407" s="1">
        <v>0</v>
      </c>
      <c r="S407" s="1">
        <v>1</v>
      </c>
      <c r="T407" s="1">
        <v>0</v>
      </c>
      <c r="U407" s="1">
        <v>0</v>
      </c>
      <c r="V407" s="1">
        <v>1</v>
      </c>
      <c r="W407" s="1">
        <v>0</v>
      </c>
      <c r="X407" s="1">
        <v>0</v>
      </c>
      <c r="Y407" s="1">
        <v>0</v>
      </c>
      <c r="Z407" s="1">
        <v>2</v>
      </c>
      <c r="AA407">
        <v>0.87175999999999998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v>21</v>
      </c>
      <c r="BH407" s="1">
        <v>60749.78</v>
      </c>
      <c r="BI407" s="1">
        <v>0</v>
      </c>
      <c r="BJ407" s="1">
        <v>1</v>
      </c>
    </row>
    <row r="408" spans="1:62" x14ac:dyDescent="0.3">
      <c r="A408" s="1">
        <v>1</v>
      </c>
      <c r="B408">
        <v>407</v>
      </c>
      <c r="C408" s="1" t="s">
        <v>87</v>
      </c>
      <c r="D408">
        <v>0</v>
      </c>
      <c r="E408" s="6">
        <v>43126</v>
      </c>
      <c r="F408" s="1" t="s">
        <v>61</v>
      </c>
      <c r="G408" s="1">
        <v>1</v>
      </c>
      <c r="H408" s="1">
        <v>1</v>
      </c>
      <c r="I408" s="1">
        <v>3</v>
      </c>
      <c r="J408" s="1" t="s">
        <v>187</v>
      </c>
      <c r="K408" s="1">
        <v>24.73</v>
      </c>
      <c r="L408" s="1">
        <v>0</v>
      </c>
      <c r="M408" s="1">
        <v>1</v>
      </c>
      <c r="N408" s="1">
        <v>0</v>
      </c>
      <c r="O408" s="1">
        <v>1</v>
      </c>
      <c r="P408" s="1">
        <v>0</v>
      </c>
      <c r="Q408" s="1">
        <v>0</v>
      </c>
      <c r="R408" s="1">
        <v>1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1</v>
      </c>
      <c r="Y408" s="1">
        <v>0</v>
      </c>
      <c r="Z408" s="1">
        <v>2</v>
      </c>
      <c r="AA408">
        <v>0.17955000000000002</v>
      </c>
      <c r="AB408" s="1">
        <v>12.65</v>
      </c>
      <c r="AC408" s="1">
        <v>60</v>
      </c>
      <c r="AD408">
        <f t="shared" ref="AD408:AD416" si="11">AB408*100/AC408</f>
        <v>21.083333333333332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2</v>
      </c>
      <c r="BE408" s="1">
        <v>1</v>
      </c>
      <c r="BF408" s="1">
        <v>1</v>
      </c>
      <c r="BG408" s="1">
        <v>7</v>
      </c>
      <c r="BH408" s="1">
        <v>60802.82</v>
      </c>
      <c r="BI408" s="1">
        <v>0</v>
      </c>
      <c r="BJ408" s="1">
        <v>1</v>
      </c>
    </row>
    <row r="409" spans="1:62" x14ac:dyDescent="0.3">
      <c r="A409" s="1">
        <v>1</v>
      </c>
      <c r="B409" s="1">
        <v>408</v>
      </c>
      <c r="C409" s="1" t="s">
        <v>92</v>
      </c>
      <c r="D409">
        <v>0</v>
      </c>
      <c r="E409" s="6">
        <v>42978</v>
      </c>
      <c r="F409" s="1" t="s">
        <v>61</v>
      </c>
      <c r="G409" s="1">
        <v>0</v>
      </c>
      <c r="H409" s="1">
        <v>1</v>
      </c>
      <c r="I409" s="1">
        <v>2</v>
      </c>
      <c r="J409" s="1" t="s">
        <v>192</v>
      </c>
      <c r="K409" s="1">
        <v>24.61</v>
      </c>
      <c r="L409" s="1">
        <v>0</v>
      </c>
      <c r="M409" s="1">
        <v>0</v>
      </c>
      <c r="N409" s="1">
        <v>0</v>
      </c>
      <c r="O409" s="1">
        <v>0</v>
      </c>
      <c r="P409" s="1">
        <v>1</v>
      </c>
      <c r="Q409" s="1">
        <v>0</v>
      </c>
      <c r="R409" s="1">
        <v>1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2</v>
      </c>
      <c r="AA409">
        <v>0.28467999999999999</v>
      </c>
      <c r="AB409" s="1">
        <v>15.77</v>
      </c>
      <c r="AC409" s="1">
        <v>61</v>
      </c>
      <c r="AD409">
        <f t="shared" si="11"/>
        <v>25.852459016393443</v>
      </c>
      <c r="AR409" s="1">
        <v>1</v>
      </c>
      <c r="AS409" s="1">
        <v>1</v>
      </c>
      <c r="AT409" s="1">
        <v>1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3</v>
      </c>
      <c r="BE409" s="1">
        <v>0</v>
      </c>
      <c r="BF409" s="1">
        <v>1</v>
      </c>
      <c r="BG409" s="1">
        <v>21</v>
      </c>
      <c r="BH409" s="1">
        <v>60805.38</v>
      </c>
      <c r="BI409" s="1">
        <v>0</v>
      </c>
      <c r="BJ409" s="1">
        <v>0</v>
      </c>
    </row>
    <row r="410" spans="1:62" x14ac:dyDescent="0.3">
      <c r="A410" s="1">
        <v>1</v>
      </c>
      <c r="B410" s="1">
        <v>409</v>
      </c>
      <c r="C410" s="1" t="s">
        <v>60</v>
      </c>
      <c r="D410">
        <v>0</v>
      </c>
      <c r="E410" s="6">
        <v>42227</v>
      </c>
      <c r="F410" s="1" t="s">
        <v>52</v>
      </c>
      <c r="G410" s="1">
        <v>1</v>
      </c>
      <c r="H410" s="1">
        <v>1</v>
      </c>
      <c r="I410" s="1">
        <v>2</v>
      </c>
      <c r="J410" s="1" t="s">
        <v>195</v>
      </c>
      <c r="K410" s="1">
        <v>17.760000000000002</v>
      </c>
      <c r="L410" s="1">
        <v>1</v>
      </c>
      <c r="M410" s="1">
        <v>1</v>
      </c>
      <c r="N410" s="1">
        <v>1</v>
      </c>
      <c r="O410" s="1">
        <v>1</v>
      </c>
      <c r="P410" s="1">
        <v>0</v>
      </c>
      <c r="Q410" s="1">
        <v>0</v>
      </c>
      <c r="R410" s="1">
        <v>0</v>
      </c>
      <c r="S410" s="1">
        <v>0</v>
      </c>
      <c r="T410" s="1">
        <v>1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2</v>
      </c>
      <c r="AA410">
        <v>0.25212000000000001</v>
      </c>
      <c r="AB410" s="1">
        <v>8.33</v>
      </c>
      <c r="AC410" s="1">
        <v>49</v>
      </c>
      <c r="AD410">
        <f t="shared" si="11"/>
        <v>17</v>
      </c>
      <c r="AK410" s="1">
        <v>40.799999999999997</v>
      </c>
      <c r="AL410" s="1">
        <v>25.6</v>
      </c>
      <c r="AM410" s="1">
        <v>11.1</v>
      </c>
      <c r="AQ410">
        <f t="shared" ref="AQ410:AQ415" si="12">AL410/AM410</f>
        <v>2.3063063063063063</v>
      </c>
      <c r="AR410">
        <v>1</v>
      </c>
      <c r="AS410">
        <v>0</v>
      </c>
      <c r="AT410">
        <v>0</v>
      </c>
      <c r="AU410">
        <v>1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 s="1">
        <v>4</v>
      </c>
      <c r="BE410" s="1">
        <v>1</v>
      </c>
      <c r="BF410" s="1">
        <v>1</v>
      </c>
      <c r="BG410" s="1">
        <v>18</v>
      </c>
      <c r="BH410" s="1">
        <v>62069.3</v>
      </c>
      <c r="BI410" s="1">
        <v>0</v>
      </c>
      <c r="BJ410" s="1">
        <v>1</v>
      </c>
    </row>
    <row r="411" spans="1:62" x14ac:dyDescent="0.3">
      <c r="A411" s="1">
        <v>1</v>
      </c>
      <c r="B411">
        <v>410</v>
      </c>
      <c r="C411" s="1" t="s">
        <v>71</v>
      </c>
      <c r="D411">
        <v>0</v>
      </c>
      <c r="E411" s="6">
        <v>43094</v>
      </c>
      <c r="F411" s="1" t="s">
        <v>52</v>
      </c>
      <c r="G411" s="1">
        <v>0</v>
      </c>
      <c r="H411" s="1">
        <v>1</v>
      </c>
      <c r="I411" s="1">
        <v>2</v>
      </c>
      <c r="J411" s="1" t="s">
        <v>196</v>
      </c>
      <c r="K411" s="1">
        <v>24.97</v>
      </c>
      <c r="L411" s="1">
        <v>1</v>
      </c>
      <c r="M411" s="1">
        <v>0</v>
      </c>
      <c r="N411" s="1">
        <v>0</v>
      </c>
      <c r="O411" s="1">
        <v>1</v>
      </c>
      <c r="P411" s="1">
        <v>0</v>
      </c>
      <c r="Q411" s="1">
        <v>1</v>
      </c>
      <c r="R411" s="1">
        <v>0</v>
      </c>
      <c r="S411" s="1">
        <v>0</v>
      </c>
      <c r="T411" s="1">
        <v>1</v>
      </c>
      <c r="U411" s="1">
        <v>0</v>
      </c>
      <c r="V411" s="1">
        <v>1</v>
      </c>
      <c r="W411" s="1">
        <v>0</v>
      </c>
      <c r="X411" s="1">
        <v>0</v>
      </c>
      <c r="Y411" s="1">
        <v>0</v>
      </c>
      <c r="Z411" s="1">
        <v>1</v>
      </c>
      <c r="AA411">
        <v>0.79016000000000008</v>
      </c>
      <c r="AB411" s="1">
        <v>9.52</v>
      </c>
      <c r="AC411" s="1">
        <v>50</v>
      </c>
      <c r="AD411">
        <f t="shared" si="11"/>
        <v>19.04</v>
      </c>
      <c r="AE411" s="1">
        <v>5</v>
      </c>
      <c r="AF411" s="1">
        <v>640</v>
      </c>
      <c r="AG411" s="1">
        <v>7.52</v>
      </c>
      <c r="AH411" s="1">
        <v>56</v>
      </c>
      <c r="AI411" s="1">
        <v>6.76</v>
      </c>
      <c r="AJ411" s="1">
        <v>11.4</v>
      </c>
      <c r="AK411" s="1">
        <v>64.400000000000006</v>
      </c>
      <c r="AL411" s="1">
        <v>21.3</v>
      </c>
      <c r="AM411" s="1">
        <v>42.2</v>
      </c>
      <c r="AN411" s="1">
        <v>515</v>
      </c>
      <c r="AO411" s="1">
        <v>170</v>
      </c>
      <c r="AP411" s="1">
        <v>338</v>
      </c>
      <c r="AQ411">
        <f t="shared" si="12"/>
        <v>0.50473933649289093</v>
      </c>
      <c r="AR411" s="1">
        <v>1</v>
      </c>
      <c r="AS411" s="1">
        <v>0</v>
      </c>
      <c r="AT411" s="1">
        <v>1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3</v>
      </c>
      <c r="BE411" s="1">
        <v>1</v>
      </c>
      <c r="BF411" s="1">
        <v>1</v>
      </c>
      <c r="BG411" s="1">
        <v>24</v>
      </c>
      <c r="BH411" s="1">
        <v>63517.25</v>
      </c>
      <c r="BI411" s="1">
        <v>1</v>
      </c>
      <c r="BJ411" s="1">
        <v>1</v>
      </c>
    </row>
    <row r="412" spans="1:62" x14ac:dyDescent="0.3">
      <c r="A412">
        <v>1</v>
      </c>
      <c r="B412" s="1">
        <v>411</v>
      </c>
      <c r="C412" s="1" t="s">
        <v>60</v>
      </c>
      <c r="D412">
        <v>0</v>
      </c>
      <c r="E412" s="2">
        <v>43494</v>
      </c>
      <c r="F412" t="s">
        <v>123</v>
      </c>
      <c r="G412" s="1">
        <v>1</v>
      </c>
      <c r="H412" s="1">
        <v>1</v>
      </c>
      <c r="I412" s="1">
        <v>2</v>
      </c>
      <c r="J412" s="1" t="s">
        <v>191</v>
      </c>
      <c r="K412" s="1">
        <v>25.4</v>
      </c>
      <c r="L412" s="1">
        <v>0</v>
      </c>
      <c r="M412" s="1">
        <v>1</v>
      </c>
      <c r="N412" s="1">
        <v>1</v>
      </c>
      <c r="O412" s="1">
        <v>1</v>
      </c>
      <c r="P412" s="1">
        <v>1</v>
      </c>
      <c r="Q412" s="1">
        <v>1</v>
      </c>
      <c r="R412" s="1">
        <v>1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2</v>
      </c>
      <c r="AA412" s="1">
        <v>0.8</v>
      </c>
      <c r="AB412" s="1">
        <v>10.210000000000001</v>
      </c>
      <c r="AC412" s="1">
        <v>100</v>
      </c>
      <c r="AD412">
        <f t="shared" si="11"/>
        <v>10.210000000000001</v>
      </c>
      <c r="AE412" s="1">
        <v>5</v>
      </c>
      <c r="AF412" s="1">
        <v>2459</v>
      </c>
      <c r="AG412" s="1">
        <v>32.799999999999997</v>
      </c>
      <c r="AH412" s="1">
        <v>66</v>
      </c>
      <c r="AI412" s="1">
        <v>16.899999999999999</v>
      </c>
      <c r="AJ412" s="1">
        <v>12.1</v>
      </c>
      <c r="AK412" s="1">
        <v>61</v>
      </c>
      <c r="AL412" s="1">
        <v>44.4</v>
      </c>
      <c r="AM412" s="1">
        <v>14.7</v>
      </c>
      <c r="AN412" s="1">
        <v>488</v>
      </c>
      <c r="AO412" s="1">
        <v>355</v>
      </c>
      <c r="AP412" s="1">
        <v>118</v>
      </c>
      <c r="AQ412">
        <f t="shared" si="12"/>
        <v>3.0204081632653064</v>
      </c>
      <c r="AR412" s="1">
        <v>1</v>
      </c>
      <c r="AS412" s="1">
        <v>1</v>
      </c>
      <c r="AT412" s="1">
        <v>1</v>
      </c>
      <c r="AU412" s="1">
        <v>0</v>
      </c>
      <c r="AV412" s="1">
        <v>0</v>
      </c>
      <c r="AW412" s="1">
        <v>0</v>
      </c>
      <c r="AX412">
        <v>1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2</v>
      </c>
      <c r="BE412" s="1">
        <v>2</v>
      </c>
      <c r="BF412" s="1">
        <v>1</v>
      </c>
      <c r="BG412" s="1">
        <v>52</v>
      </c>
      <c r="BH412">
        <f>203877.82+237.84+110+53959+5955+1190+25068+172+4992+18720+5330+7817.73</f>
        <v>327429.39</v>
      </c>
      <c r="BI412" s="1">
        <v>1</v>
      </c>
      <c r="BJ412" s="1">
        <v>1</v>
      </c>
    </row>
    <row r="413" spans="1:62" x14ac:dyDescent="0.3">
      <c r="A413" s="1">
        <v>1</v>
      </c>
      <c r="B413">
        <v>412</v>
      </c>
      <c r="C413" s="1" t="s">
        <v>69</v>
      </c>
      <c r="D413">
        <v>0</v>
      </c>
      <c r="E413" s="6">
        <v>42741</v>
      </c>
      <c r="F413" s="1" t="s">
        <v>52</v>
      </c>
      <c r="G413" s="1">
        <v>0</v>
      </c>
      <c r="H413" s="1">
        <v>1</v>
      </c>
      <c r="I413" s="1">
        <v>2</v>
      </c>
      <c r="J413" s="1" t="s">
        <v>191</v>
      </c>
      <c r="K413" s="1">
        <v>19.03</v>
      </c>
      <c r="L413" s="1">
        <v>1</v>
      </c>
      <c r="M413" s="1">
        <v>1</v>
      </c>
      <c r="N413" s="1">
        <v>1</v>
      </c>
      <c r="O413" s="1">
        <v>1</v>
      </c>
      <c r="P413" s="1">
        <v>0</v>
      </c>
      <c r="Q413" s="1">
        <v>0</v>
      </c>
      <c r="R413" s="1">
        <v>0</v>
      </c>
      <c r="S413" s="1">
        <v>1</v>
      </c>
      <c r="T413" s="1">
        <v>1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1</v>
      </c>
      <c r="AA413">
        <v>0.39364000000000005</v>
      </c>
      <c r="AB413" s="1">
        <v>23.44</v>
      </c>
      <c r="AC413" s="1">
        <v>41</v>
      </c>
      <c r="AD413">
        <f t="shared" si="11"/>
        <v>57.170731707317074</v>
      </c>
      <c r="AE413" s="1">
        <v>5</v>
      </c>
      <c r="AF413" s="1">
        <v>349</v>
      </c>
      <c r="AG413" s="1">
        <v>3.82</v>
      </c>
      <c r="AH413" s="1">
        <v>38.5</v>
      </c>
      <c r="AI413" s="1">
        <v>8.9</v>
      </c>
      <c r="AJ413" s="1">
        <v>5.76</v>
      </c>
      <c r="AK413" s="1">
        <v>64.8</v>
      </c>
      <c r="AL413" s="1">
        <v>41.2</v>
      </c>
      <c r="AM413" s="1">
        <v>15.5</v>
      </c>
      <c r="AN413" s="1">
        <v>253</v>
      </c>
      <c r="AO413" s="1">
        <v>161</v>
      </c>
      <c r="AP413" s="1">
        <v>60</v>
      </c>
      <c r="AQ413">
        <f t="shared" si="12"/>
        <v>2.6580645161290324</v>
      </c>
      <c r="AR413" s="1">
        <v>1</v>
      </c>
      <c r="AS413" s="1">
        <v>1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3</v>
      </c>
      <c r="BE413" s="1">
        <v>0</v>
      </c>
      <c r="BF413" s="1">
        <v>1</v>
      </c>
      <c r="BG413" s="1">
        <v>31</v>
      </c>
      <c r="BH413" s="1">
        <v>65327.09</v>
      </c>
      <c r="BI413" s="1">
        <v>0</v>
      </c>
      <c r="BJ413" s="1">
        <v>1</v>
      </c>
    </row>
    <row r="414" spans="1:62" x14ac:dyDescent="0.3">
      <c r="A414">
        <v>1</v>
      </c>
      <c r="B414" s="1">
        <v>413</v>
      </c>
      <c r="C414" t="s">
        <v>69</v>
      </c>
      <c r="D414">
        <v>0</v>
      </c>
      <c r="E414" s="2">
        <v>43514</v>
      </c>
      <c r="F414" t="s">
        <v>123</v>
      </c>
      <c r="G414" s="1">
        <v>1</v>
      </c>
      <c r="H414" s="1">
        <v>1</v>
      </c>
      <c r="I414" s="1">
        <v>2</v>
      </c>
      <c r="J414" s="1" t="s">
        <v>191</v>
      </c>
      <c r="K414" s="1">
        <v>25.4</v>
      </c>
      <c r="L414" s="1">
        <v>0</v>
      </c>
      <c r="M414" s="1">
        <v>1</v>
      </c>
      <c r="N414" s="1">
        <v>1</v>
      </c>
      <c r="O414" s="1">
        <v>0</v>
      </c>
      <c r="P414" s="1">
        <v>1</v>
      </c>
      <c r="Q414" s="1">
        <v>1</v>
      </c>
      <c r="R414" s="1">
        <v>1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2</v>
      </c>
      <c r="AA414" s="1">
        <v>0.8</v>
      </c>
      <c r="AB414" s="1">
        <v>10.210000000000001</v>
      </c>
      <c r="AC414" s="1">
        <v>100</v>
      </c>
      <c r="AD414">
        <f t="shared" si="11"/>
        <v>10.210000000000001</v>
      </c>
      <c r="AE414" s="1">
        <v>5</v>
      </c>
      <c r="AF414" s="1">
        <v>2459</v>
      </c>
      <c r="AG414" s="1">
        <v>32.799999999999997</v>
      </c>
      <c r="AH414" s="1">
        <v>66</v>
      </c>
      <c r="AI414" s="1">
        <v>16.899999999999999</v>
      </c>
      <c r="AJ414" s="1">
        <v>12.1</v>
      </c>
      <c r="AK414" s="1">
        <v>61</v>
      </c>
      <c r="AL414" s="1">
        <v>44.4</v>
      </c>
      <c r="AM414" s="1">
        <v>14.7</v>
      </c>
      <c r="AN414" s="1">
        <v>488</v>
      </c>
      <c r="AO414" s="1">
        <v>355</v>
      </c>
      <c r="AP414" s="1">
        <v>118</v>
      </c>
      <c r="AQ414">
        <f t="shared" si="12"/>
        <v>3.0204081632653064</v>
      </c>
      <c r="AR414" s="1">
        <v>1</v>
      </c>
      <c r="AS414" s="1">
        <v>1</v>
      </c>
      <c r="AT414" s="1">
        <v>1</v>
      </c>
      <c r="AU414" s="1">
        <v>0</v>
      </c>
      <c r="AV414" s="1">
        <v>0</v>
      </c>
      <c r="AW414" s="1">
        <v>0</v>
      </c>
      <c r="AX414">
        <v>1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2</v>
      </c>
      <c r="BE414" s="1">
        <v>2</v>
      </c>
      <c r="BF414" s="1">
        <v>1</v>
      </c>
      <c r="BG414" s="1">
        <v>52</v>
      </c>
      <c r="BH414">
        <f>203877+237.84+110+53959+5955+1190+25068+172+4992+18720+5330+7817.73</f>
        <v>327428.56999999995</v>
      </c>
      <c r="BI414" s="1">
        <v>1</v>
      </c>
      <c r="BJ414" s="1">
        <v>1</v>
      </c>
    </row>
    <row r="415" spans="1:62" x14ac:dyDescent="0.3">
      <c r="A415" s="1">
        <v>2</v>
      </c>
      <c r="B415" s="1">
        <v>414</v>
      </c>
      <c r="C415" s="1" t="s">
        <v>62</v>
      </c>
      <c r="D415">
        <v>0</v>
      </c>
      <c r="E415" s="6">
        <v>42345</v>
      </c>
      <c r="F415" s="1" t="s">
        <v>63</v>
      </c>
      <c r="G415" s="1">
        <v>0</v>
      </c>
      <c r="H415" s="1">
        <v>0</v>
      </c>
      <c r="I415" s="1">
        <v>2</v>
      </c>
      <c r="J415" s="1" t="s">
        <v>192</v>
      </c>
      <c r="K415" s="1">
        <v>22.22</v>
      </c>
      <c r="L415" s="1">
        <v>0</v>
      </c>
      <c r="M415" s="1">
        <v>1</v>
      </c>
      <c r="N415" s="1">
        <v>1</v>
      </c>
      <c r="O415" s="1">
        <v>0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2</v>
      </c>
      <c r="AA415">
        <v>0.91439999999999999</v>
      </c>
      <c r="AB415" s="1">
        <v>17.59</v>
      </c>
      <c r="AC415" s="1">
        <v>33</v>
      </c>
      <c r="AD415">
        <f t="shared" si="11"/>
        <v>53.303030303030305</v>
      </c>
      <c r="AE415" s="1">
        <v>18.899999999999999</v>
      </c>
      <c r="AF415" s="1">
        <v>461</v>
      </c>
      <c r="AG415" s="1">
        <v>2.61</v>
      </c>
      <c r="AH415" s="1">
        <v>323</v>
      </c>
      <c r="AI415" s="1">
        <v>5</v>
      </c>
      <c r="AJ415" s="1">
        <v>6.61</v>
      </c>
      <c r="AK415" s="1">
        <v>65.900000000000006</v>
      </c>
      <c r="AL415" s="1">
        <v>48.2</v>
      </c>
      <c r="AM415" s="1">
        <v>17.3</v>
      </c>
      <c r="AQ415">
        <f t="shared" si="12"/>
        <v>2.7861271676300579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 s="1">
        <v>1</v>
      </c>
      <c r="BE415" s="1">
        <v>0</v>
      </c>
      <c r="BF415" s="1">
        <v>0</v>
      </c>
      <c r="BG415" s="1">
        <v>84</v>
      </c>
      <c r="BH415" s="1">
        <v>65886.820000000007</v>
      </c>
      <c r="BI415" s="1">
        <v>0</v>
      </c>
      <c r="BJ415" s="1">
        <v>0</v>
      </c>
    </row>
    <row r="416" spans="1:62" x14ac:dyDescent="0.3">
      <c r="A416">
        <v>1</v>
      </c>
      <c r="B416">
        <v>415</v>
      </c>
      <c r="C416" t="s">
        <v>54</v>
      </c>
      <c r="D416">
        <v>0</v>
      </c>
      <c r="E416" s="2" t="s">
        <v>146</v>
      </c>
      <c r="F416" s="4" t="s">
        <v>121</v>
      </c>
      <c r="G416" s="1">
        <v>1</v>
      </c>
      <c r="H416" s="1">
        <v>1</v>
      </c>
      <c r="I416" s="1">
        <v>2</v>
      </c>
      <c r="J416" s="1" t="s">
        <v>196</v>
      </c>
      <c r="K416" s="1">
        <v>15.79</v>
      </c>
      <c r="L416" s="1">
        <v>2</v>
      </c>
      <c r="M416" s="1">
        <v>1</v>
      </c>
      <c r="N416" s="1">
        <v>1</v>
      </c>
      <c r="O416" s="1">
        <v>1</v>
      </c>
      <c r="P416" s="1">
        <v>0</v>
      </c>
      <c r="Q416" s="1">
        <v>0</v>
      </c>
      <c r="R416" s="1">
        <v>0</v>
      </c>
      <c r="S416" s="1">
        <v>0</v>
      </c>
      <c r="T416" s="1">
        <v>1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2</v>
      </c>
      <c r="AA416" s="1">
        <v>2.83</v>
      </c>
      <c r="AB416" s="1">
        <v>10.88</v>
      </c>
      <c r="AC416" s="1">
        <v>33</v>
      </c>
      <c r="AD416">
        <f t="shared" si="11"/>
        <v>32.969696969696969</v>
      </c>
      <c r="AR416">
        <v>1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1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2</v>
      </c>
      <c r="BE416" s="1">
        <v>2</v>
      </c>
      <c r="BF416" s="1">
        <v>0</v>
      </c>
      <c r="BG416" s="1">
        <v>30</v>
      </c>
      <c r="BH416">
        <f>24747.78+264.44+20780+4298+140+5486+827.5+1506+3000+2332+1500+1340.64</f>
        <v>66222.36</v>
      </c>
      <c r="BI416" s="1">
        <v>0</v>
      </c>
      <c r="BJ416" s="1">
        <v>0</v>
      </c>
    </row>
    <row r="417" spans="1:62" x14ac:dyDescent="0.3">
      <c r="A417" s="1">
        <v>1</v>
      </c>
      <c r="B417" s="1">
        <v>416</v>
      </c>
      <c r="C417" s="1" t="s">
        <v>60</v>
      </c>
      <c r="D417">
        <v>0</v>
      </c>
      <c r="E417" s="6">
        <v>42952</v>
      </c>
      <c r="F417" s="1" t="s">
        <v>85</v>
      </c>
      <c r="G417" s="1">
        <v>0</v>
      </c>
      <c r="H417" s="1">
        <v>0</v>
      </c>
      <c r="I417" s="1">
        <v>2</v>
      </c>
      <c r="J417" s="1" t="s">
        <v>193</v>
      </c>
      <c r="K417" s="1">
        <v>14.69</v>
      </c>
      <c r="L417" s="1">
        <v>0</v>
      </c>
      <c r="M417" s="1">
        <v>1</v>
      </c>
      <c r="N417" s="1">
        <v>1</v>
      </c>
      <c r="O417" s="1">
        <v>0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1</v>
      </c>
      <c r="Y417" s="1">
        <v>0</v>
      </c>
      <c r="Z417" s="1">
        <v>1</v>
      </c>
      <c r="AA417">
        <v>0.60694999999999988</v>
      </c>
      <c r="AK417" s="1">
        <v>68.2</v>
      </c>
      <c r="AL417" s="1">
        <v>49.5</v>
      </c>
      <c r="AM417" s="1">
        <v>20.100000000000001</v>
      </c>
      <c r="AN417" s="1">
        <v>962</v>
      </c>
      <c r="AO417" s="1">
        <v>698</v>
      </c>
      <c r="AP417" s="1">
        <v>283</v>
      </c>
      <c r="AQ417">
        <f>AL417/AM417</f>
        <v>2.4626865671641789</v>
      </c>
      <c r="AR417" s="1">
        <v>1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1</v>
      </c>
      <c r="AZ417" s="1">
        <v>0</v>
      </c>
      <c r="BA417" s="1">
        <v>0</v>
      </c>
      <c r="BB417" s="1">
        <v>0</v>
      </c>
      <c r="BC417" s="1">
        <v>0</v>
      </c>
      <c r="BD417" s="1">
        <v>3</v>
      </c>
      <c r="BE417" s="1">
        <v>0</v>
      </c>
      <c r="BF417" s="1">
        <v>0</v>
      </c>
      <c r="BG417" s="1">
        <v>19</v>
      </c>
      <c r="BH417" s="1">
        <v>66298.17</v>
      </c>
      <c r="BI417" s="1">
        <v>0</v>
      </c>
      <c r="BJ417" s="1">
        <v>0</v>
      </c>
    </row>
    <row r="418" spans="1:62" x14ac:dyDescent="0.3">
      <c r="A418" s="1">
        <v>1</v>
      </c>
      <c r="B418">
        <v>417</v>
      </c>
      <c r="C418" s="1" t="s">
        <v>60</v>
      </c>
      <c r="D418">
        <v>0</v>
      </c>
      <c r="E418" s="6">
        <v>43152</v>
      </c>
      <c r="F418" s="1" t="s">
        <v>85</v>
      </c>
      <c r="G418" s="1">
        <v>0</v>
      </c>
      <c r="H418" s="1">
        <v>0</v>
      </c>
      <c r="I418" s="1">
        <v>2</v>
      </c>
      <c r="J418" s="1" t="s">
        <v>190</v>
      </c>
      <c r="K418" s="1">
        <v>22.58</v>
      </c>
      <c r="L418" s="1">
        <v>0</v>
      </c>
      <c r="M418" s="1">
        <v>1</v>
      </c>
      <c r="N418" s="1">
        <v>0</v>
      </c>
      <c r="O418" s="1">
        <v>0</v>
      </c>
      <c r="P418" s="1">
        <v>1</v>
      </c>
      <c r="Q418" s="1">
        <v>1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1</v>
      </c>
      <c r="Y418" s="1">
        <v>0</v>
      </c>
      <c r="Z418" s="1">
        <v>2</v>
      </c>
      <c r="AA418">
        <v>0.73919999999999986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v>8</v>
      </c>
      <c r="BH418" s="1">
        <v>38311.1</v>
      </c>
      <c r="BI418" s="1">
        <v>1</v>
      </c>
      <c r="BJ418" s="1">
        <v>1</v>
      </c>
    </row>
    <row r="419" spans="1:62" x14ac:dyDescent="0.3">
      <c r="A419" s="1">
        <v>1</v>
      </c>
      <c r="B419" s="1">
        <v>418</v>
      </c>
      <c r="C419" s="1" t="s">
        <v>60</v>
      </c>
      <c r="D419">
        <v>0</v>
      </c>
      <c r="E419" s="6">
        <v>42704</v>
      </c>
      <c r="F419" s="1" t="s">
        <v>52</v>
      </c>
      <c r="G419" s="1">
        <v>0</v>
      </c>
      <c r="H419" s="1">
        <v>1</v>
      </c>
      <c r="I419" s="1">
        <v>2</v>
      </c>
      <c r="J419" s="1" t="s">
        <v>194</v>
      </c>
      <c r="K419" s="1">
        <v>19.48</v>
      </c>
      <c r="L419" s="1">
        <v>0</v>
      </c>
      <c r="M419" s="1">
        <v>1</v>
      </c>
      <c r="N419" s="1">
        <v>1</v>
      </c>
      <c r="O419" s="1">
        <v>1</v>
      </c>
      <c r="P419" s="1">
        <v>0</v>
      </c>
      <c r="Q419" s="1">
        <v>0</v>
      </c>
      <c r="R419" s="1">
        <v>0</v>
      </c>
      <c r="S419" s="1">
        <v>0</v>
      </c>
      <c r="T419" s="1">
        <v>1</v>
      </c>
      <c r="U419" s="1">
        <v>1</v>
      </c>
      <c r="V419" s="1">
        <v>0</v>
      </c>
      <c r="W419" s="1">
        <v>0</v>
      </c>
      <c r="X419" s="1">
        <v>0</v>
      </c>
      <c r="Y419" s="1">
        <v>0</v>
      </c>
      <c r="Z419" s="1">
        <v>2</v>
      </c>
      <c r="AA419">
        <v>0.23040000000000002</v>
      </c>
      <c r="AB419" s="1">
        <v>12.36</v>
      </c>
      <c r="AC419" s="1">
        <v>33</v>
      </c>
      <c r="AD419">
        <f>AB419*100/AC419</f>
        <v>37.454545454545453</v>
      </c>
      <c r="AE419" s="1">
        <v>5</v>
      </c>
      <c r="AF419" s="1">
        <v>4129</v>
      </c>
      <c r="AG419" s="1">
        <v>70.099999999999994</v>
      </c>
      <c r="AH419" s="1">
        <v>69.2</v>
      </c>
      <c r="AI419" s="1">
        <v>9.27</v>
      </c>
      <c r="AJ419" s="1">
        <v>20.7</v>
      </c>
      <c r="AK419" s="1">
        <v>58.3</v>
      </c>
      <c r="AL419" s="1">
        <v>22.2</v>
      </c>
      <c r="AM419" s="1">
        <v>35.299999999999997</v>
      </c>
      <c r="AN419" s="1">
        <v>157</v>
      </c>
      <c r="AO419" s="1">
        <v>60</v>
      </c>
      <c r="AP419" s="1">
        <v>95</v>
      </c>
      <c r="AQ419">
        <f>AL419/AM419</f>
        <v>0.62889518413597734</v>
      </c>
      <c r="AR419" s="1">
        <v>1</v>
      </c>
      <c r="AS419" s="1">
        <v>0</v>
      </c>
      <c r="AT419" s="1">
        <v>1</v>
      </c>
      <c r="AU419" s="1">
        <v>1</v>
      </c>
      <c r="AV419" s="1">
        <v>1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3</v>
      </c>
      <c r="BE419" s="1">
        <v>0</v>
      </c>
      <c r="BF419" s="1">
        <v>1</v>
      </c>
      <c r="BG419" s="1">
        <v>26</v>
      </c>
      <c r="BH419" s="1">
        <v>68978.240000000005</v>
      </c>
      <c r="BI419" s="1">
        <v>0</v>
      </c>
      <c r="BJ419" s="1">
        <v>0</v>
      </c>
    </row>
    <row r="420" spans="1:62" x14ac:dyDescent="0.3">
      <c r="A420" s="1">
        <v>1</v>
      </c>
      <c r="B420" s="1">
        <v>419</v>
      </c>
      <c r="C420" s="1" t="s">
        <v>60</v>
      </c>
      <c r="D420">
        <v>0</v>
      </c>
      <c r="E420" s="6">
        <v>42999</v>
      </c>
      <c r="F420" s="1" t="s">
        <v>52</v>
      </c>
      <c r="G420" s="1">
        <v>0</v>
      </c>
      <c r="H420" s="1">
        <v>1</v>
      </c>
      <c r="I420" s="1">
        <v>3</v>
      </c>
      <c r="J420" s="1" t="s">
        <v>191</v>
      </c>
      <c r="K420" s="1">
        <v>23.66</v>
      </c>
      <c r="L420" s="1">
        <v>1</v>
      </c>
      <c r="M420" s="1">
        <v>1</v>
      </c>
      <c r="N420" s="1">
        <v>1</v>
      </c>
      <c r="O420" s="1">
        <v>1</v>
      </c>
      <c r="P420" s="1">
        <v>0</v>
      </c>
      <c r="Q420" s="1">
        <v>0</v>
      </c>
      <c r="R420" s="1">
        <v>1</v>
      </c>
      <c r="S420" s="1">
        <v>0</v>
      </c>
      <c r="T420" s="1">
        <v>1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2</v>
      </c>
      <c r="AA420">
        <v>1.0214099999999999</v>
      </c>
      <c r="AB420" s="1">
        <v>8.65</v>
      </c>
      <c r="AC420" s="1">
        <v>40</v>
      </c>
      <c r="AD420">
        <f>AB420*100/AC420</f>
        <v>21.625</v>
      </c>
      <c r="AE420" s="1">
        <v>6.07</v>
      </c>
      <c r="AF420" s="1">
        <v>772</v>
      </c>
      <c r="AG420" s="1">
        <v>2</v>
      </c>
      <c r="AH420" s="1">
        <v>2149</v>
      </c>
      <c r="AI420" s="1">
        <v>5</v>
      </c>
      <c r="AK420" s="1">
        <v>60.6</v>
      </c>
      <c r="AL420" s="1">
        <v>35.700000000000003</v>
      </c>
      <c r="AM420" s="1">
        <v>24.2</v>
      </c>
      <c r="AN420" s="1">
        <v>854</v>
      </c>
      <c r="AO420" s="1">
        <v>503</v>
      </c>
      <c r="AP420" s="1">
        <v>341</v>
      </c>
      <c r="AQ420">
        <f>AL420/AM420</f>
        <v>1.475206611570248</v>
      </c>
      <c r="AR420" s="1">
        <v>1</v>
      </c>
      <c r="AS420" s="1">
        <v>1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2</v>
      </c>
      <c r="BE420" s="1">
        <v>2</v>
      </c>
      <c r="BF420" s="1">
        <v>0</v>
      </c>
      <c r="BG420" s="1">
        <v>34</v>
      </c>
      <c r="BH420" s="1">
        <v>69461.36</v>
      </c>
      <c r="BI420" s="1">
        <v>1</v>
      </c>
      <c r="BJ420" s="1">
        <v>1</v>
      </c>
    </row>
    <row r="421" spans="1:62" x14ac:dyDescent="0.3">
      <c r="A421" s="1">
        <v>1</v>
      </c>
      <c r="B421">
        <v>420</v>
      </c>
      <c r="C421" s="1" t="s">
        <v>74</v>
      </c>
      <c r="D421">
        <v>0</v>
      </c>
      <c r="E421" s="6">
        <v>43245</v>
      </c>
      <c r="F421" s="1" t="s">
        <v>103</v>
      </c>
      <c r="G421" s="1">
        <v>0</v>
      </c>
      <c r="H421" s="1">
        <v>0</v>
      </c>
      <c r="I421" s="1">
        <v>1</v>
      </c>
      <c r="J421" s="1" t="s">
        <v>185</v>
      </c>
      <c r="K421" s="1">
        <v>25.15</v>
      </c>
      <c r="L421" s="1">
        <v>0</v>
      </c>
      <c r="M421" s="1">
        <v>1</v>
      </c>
      <c r="N421" s="1">
        <v>1</v>
      </c>
      <c r="O421" s="1">
        <v>0</v>
      </c>
      <c r="P421" s="1">
        <v>0</v>
      </c>
      <c r="Q421" s="1">
        <v>1</v>
      </c>
      <c r="R421" s="1">
        <v>1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1</v>
      </c>
      <c r="Y421" s="1">
        <v>0</v>
      </c>
      <c r="Z421" s="1">
        <v>2</v>
      </c>
      <c r="AA421">
        <v>0.38539999999999996</v>
      </c>
      <c r="AE421" s="1">
        <v>5</v>
      </c>
      <c r="AF421" s="1">
        <v>1763</v>
      </c>
      <c r="AG421" s="1">
        <v>18.600000000000001</v>
      </c>
      <c r="AH421" s="1">
        <v>209</v>
      </c>
      <c r="AI421" s="1">
        <v>30.9</v>
      </c>
      <c r="AJ421" s="1">
        <v>58.1</v>
      </c>
      <c r="AK421" s="1">
        <v>84</v>
      </c>
      <c r="AL421" s="1">
        <v>36.5</v>
      </c>
      <c r="AM421" s="1">
        <v>43</v>
      </c>
      <c r="AN421" s="1">
        <v>319</v>
      </c>
      <c r="AO421" s="1">
        <v>139</v>
      </c>
      <c r="AP421" s="1">
        <v>163</v>
      </c>
      <c r="AQ421">
        <f>AL421/AM421</f>
        <v>0.84883720930232553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1</v>
      </c>
      <c r="BE421" s="1">
        <v>0</v>
      </c>
      <c r="BF421" s="1">
        <v>0</v>
      </c>
      <c r="BG421" s="1">
        <v>7</v>
      </c>
      <c r="BH421" s="1">
        <v>26570.799999999999</v>
      </c>
      <c r="BI421" s="1">
        <v>1</v>
      </c>
      <c r="BJ421" s="1">
        <v>0</v>
      </c>
    </row>
    <row r="422" spans="1:62" x14ac:dyDescent="0.3">
      <c r="A422">
        <v>1</v>
      </c>
      <c r="B422" s="1">
        <v>421</v>
      </c>
      <c r="C422" s="1" t="s">
        <v>60</v>
      </c>
      <c r="D422">
        <v>0</v>
      </c>
      <c r="E422" s="2">
        <v>43499</v>
      </c>
      <c r="F422" t="s">
        <v>123</v>
      </c>
      <c r="G422" s="1">
        <v>1</v>
      </c>
      <c r="H422" s="1">
        <v>1</v>
      </c>
      <c r="I422" s="1">
        <v>2</v>
      </c>
      <c r="J422" s="1" t="s">
        <v>191</v>
      </c>
      <c r="K422" s="1">
        <v>25.4</v>
      </c>
      <c r="L422" s="1">
        <v>0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1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2</v>
      </c>
      <c r="AA422">
        <f>13.24*0.038</f>
        <v>0.50312000000000001</v>
      </c>
      <c r="AB422">
        <f>36/7.5</f>
        <v>4.8</v>
      </c>
      <c r="AC422" s="1">
        <v>21</v>
      </c>
      <c r="AD422">
        <f t="shared" ref="AD422:AD446" si="13">AB422*100/AC422</f>
        <v>22.857142857142858</v>
      </c>
      <c r="AE422">
        <v>5</v>
      </c>
      <c r="AF422">
        <v>2459</v>
      </c>
      <c r="AG422">
        <v>32.799999999999997</v>
      </c>
      <c r="AH422">
        <v>66</v>
      </c>
      <c r="AI422">
        <v>16.899999999999999</v>
      </c>
      <c r="AJ422">
        <v>12.1</v>
      </c>
      <c r="AK422">
        <v>61</v>
      </c>
      <c r="AL422">
        <v>44.4</v>
      </c>
      <c r="AM422">
        <v>14.7</v>
      </c>
      <c r="AN422">
        <v>488</v>
      </c>
      <c r="AO422">
        <v>355</v>
      </c>
      <c r="AP422">
        <v>118</v>
      </c>
      <c r="AQ422">
        <f>AL422/AM422</f>
        <v>3.0204081632653064</v>
      </c>
      <c r="AR422">
        <v>1</v>
      </c>
      <c r="AS422">
        <v>1</v>
      </c>
      <c r="AT422">
        <v>1</v>
      </c>
      <c r="AU422">
        <v>0</v>
      </c>
      <c r="AV422">
        <v>0</v>
      </c>
      <c r="AW422">
        <v>0</v>
      </c>
      <c r="AX422">
        <v>1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2</v>
      </c>
      <c r="BE422" s="1">
        <v>2</v>
      </c>
      <c r="BF422" s="1">
        <v>1</v>
      </c>
      <c r="BG422" s="1">
        <v>52</v>
      </c>
      <c r="BH422">
        <f>203877.82+237.84+110+53959+5955+1190+25068+172+4992+18720+5330+7817.73</f>
        <v>327429.39</v>
      </c>
      <c r="BI422" s="1">
        <v>1</v>
      </c>
      <c r="BJ422" s="1">
        <v>1</v>
      </c>
    </row>
    <row r="423" spans="1:62" x14ac:dyDescent="0.3">
      <c r="A423" s="1">
        <v>1</v>
      </c>
      <c r="B423">
        <v>422</v>
      </c>
      <c r="C423" s="1" t="s">
        <v>60</v>
      </c>
      <c r="D423">
        <v>0</v>
      </c>
      <c r="E423" s="6">
        <v>42976</v>
      </c>
      <c r="F423" s="1" t="s">
        <v>121</v>
      </c>
      <c r="G423" s="1">
        <v>0</v>
      </c>
      <c r="H423" s="1">
        <v>0</v>
      </c>
      <c r="I423" s="1">
        <v>2</v>
      </c>
      <c r="J423" s="1" t="s">
        <v>197</v>
      </c>
      <c r="K423" s="1">
        <v>20.420000000000002</v>
      </c>
      <c r="L423" s="1">
        <v>0</v>
      </c>
      <c r="M423" s="1">
        <v>1</v>
      </c>
      <c r="N423" s="1">
        <v>0</v>
      </c>
      <c r="O423" s="1">
        <v>0</v>
      </c>
      <c r="P423" s="1">
        <v>1</v>
      </c>
      <c r="Q423" s="1">
        <v>0</v>
      </c>
      <c r="R423" s="1">
        <v>0</v>
      </c>
      <c r="S423" s="1">
        <v>0</v>
      </c>
      <c r="T423" s="1">
        <v>1</v>
      </c>
      <c r="U423" s="1">
        <v>0</v>
      </c>
      <c r="V423" s="1">
        <v>0</v>
      </c>
      <c r="W423" s="1">
        <v>0</v>
      </c>
      <c r="X423" s="1">
        <v>0</v>
      </c>
      <c r="Y423" s="1">
        <v>1</v>
      </c>
      <c r="Z423" s="1">
        <v>2</v>
      </c>
      <c r="AA423">
        <v>0.96628000000000003</v>
      </c>
      <c r="AB423" s="1">
        <v>6.87</v>
      </c>
      <c r="AC423" s="1">
        <v>21</v>
      </c>
      <c r="AD423">
        <f t="shared" si="13"/>
        <v>32.714285714285715</v>
      </c>
      <c r="AG423">
        <v>38.4</v>
      </c>
      <c r="AJ423">
        <v>67.12</v>
      </c>
      <c r="AK423">
        <v>44.4</v>
      </c>
      <c r="AL423">
        <v>33.4</v>
      </c>
      <c r="AM423">
        <v>10.4</v>
      </c>
      <c r="AQ423">
        <f>AL423/AM423</f>
        <v>3.2115384615384612</v>
      </c>
      <c r="AR423">
        <v>1</v>
      </c>
      <c r="AS423">
        <v>0</v>
      </c>
      <c r="AT423">
        <v>1</v>
      </c>
      <c r="AU423">
        <v>0</v>
      </c>
      <c r="AV423">
        <v>0</v>
      </c>
      <c r="AW423">
        <v>1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 s="1">
        <v>2</v>
      </c>
      <c r="BE423" s="1">
        <v>0</v>
      </c>
      <c r="BF423" s="1">
        <v>0</v>
      </c>
      <c r="BG423" s="1">
        <v>106</v>
      </c>
      <c r="BH423" s="1">
        <v>72948.19</v>
      </c>
      <c r="BI423" s="1">
        <v>1</v>
      </c>
      <c r="BJ423" s="1">
        <v>0</v>
      </c>
    </row>
    <row r="424" spans="1:62" x14ac:dyDescent="0.3">
      <c r="A424" s="1">
        <v>1</v>
      </c>
      <c r="B424" s="1">
        <v>423</v>
      </c>
      <c r="C424" s="1" t="s">
        <v>90</v>
      </c>
      <c r="D424">
        <v>0</v>
      </c>
      <c r="E424" s="6">
        <v>42875</v>
      </c>
      <c r="F424" s="1" t="s">
        <v>61</v>
      </c>
      <c r="G424" s="1">
        <v>0</v>
      </c>
      <c r="H424" s="1">
        <v>1</v>
      </c>
      <c r="I424" s="1">
        <v>3</v>
      </c>
      <c r="J424" s="1" t="s">
        <v>189</v>
      </c>
      <c r="K424" s="1">
        <v>21.56</v>
      </c>
      <c r="L424" s="1">
        <v>0</v>
      </c>
      <c r="M424" s="1">
        <v>1</v>
      </c>
      <c r="N424" s="1">
        <v>1</v>
      </c>
      <c r="O424" s="1">
        <v>0</v>
      </c>
      <c r="P424" s="1">
        <v>1</v>
      </c>
      <c r="Q424" s="1">
        <v>1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2</v>
      </c>
      <c r="AA424">
        <v>1.3921599999999998</v>
      </c>
      <c r="AB424" s="1">
        <v>7.06</v>
      </c>
      <c r="AC424" s="1">
        <v>41</v>
      </c>
      <c r="AD424">
        <f t="shared" si="13"/>
        <v>17.219512195121951</v>
      </c>
      <c r="AE424" s="1">
        <v>7.62</v>
      </c>
      <c r="AF424" s="1">
        <v>477</v>
      </c>
      <c r="AG424" s="1">
        <v>135</v>
      </c>
      <c r="AH424" s="1">
        <v>2042</v>
      </c>
      <c r="AI424" s="1">
        <v>10.3</v>
      </c>
      <c r="AJ424" s="1">
        <v>10.6</v>
      </c>
      <c r="AR424" s="1">
        <v>1</v>
      </c>
      <c r="AS424" s="1">
        <v>0</v>
      </c>
      <c r="AT424" s="1">
        <v>0</v>
      </c>
      <c r="AU424" s="1">
        <v>0</v>
      </c>
      <c r="AV424" s="1">
        <v>1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1</v>
      </c>
      <c r="BE424" s="1">
        <v>0</v>
      </c>
      <c r="BF424" s="1">
        <v>0</v>
      </c>
      <c r="BG424" s="1">
        <v>9</v>
      </c>
      <c r="BH424" s="1">
        <v>24476.55</v>
      </c>
      <c r="BI424" s="1">
        <v>0</v>
      </c>
      <c r="BJ424" s="1">
        <v>0</v>
      </c>
    </row>
    <row r="425" spans="1:62" x14ac:dyDescent="0.3">
      <c r="A425" s="1">
        <v>1</v>
      </c>
      <c r="B425" s="1">
        <v>424</v>
      </c>
      <c r="C425" s="1" t="s">
        <v>54</v>
      </c>
      <c r="D425">
        <v>0</v>
      </c>
      <c r="E425" s="6">
        <v>42662</v>
      </c>
      <c r="F425" s="1" t="s">
        <v>52</v>
      </c>
      <c r="G425" s="1">
        <v>1</v>
      </c>
      <c r="H425" s="1">
        <v>1</v>
      </c>
      <c r="I425" s="1">
        <v>3</v>
      </c>
      <c r="J425" s="1" t="s">
        <v>188</v>
      </c>
      <c r="K425" s="1">
        <v>25.11</v>
      </c>
      <c r="L425" s="1">
        <v>0</v>
      </c>
      <c r="M425" s="1">
        <v>1</v>
      </c>
      <c r="N425" s="1">
        <v>0</v>
      </c>
      <c r="O425" s="1">
        <v>0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2</v>
      </c>
      <c r="AA425">
        <v>0.68208000000000002</v>
      </c>
      <c r="AB425" s="1">
        <v>21.82</v>
      </c>
      <c r="AC425" s="1">
        <v>41</v>
      </c>
      <c r="AD425">
        <f t="shared" si="13"/>
        <v>53.219512195121951</v>
      </c>
      <c r="AE425" s="1">
        <v>5</v>
      </c>
      <c r="AF425" s="1">
        <v>1328</v>
      </c>
      <c r="AG425" s="1">
        <v>8.26</v>
      </c>
      <c r="AH425" s="1">
        <v>29.5</v>
      </c>
      <c r="AI425" s="1">
        <v>6.95</v>
      </c>
      <c r="AJ425" s="1">
        <v>11.8</v>
      </c>
      <c r="AK425" s="1">
        <v>83.2</v>
      </c>
      <c r="AL425" s="1">
        <v>44.2</v>
      </c>
      <c r="AM425" s="1">
        <v>34.5</v>
      </c>
      <c r="AQ425">
        <f>AL425/AM425</f>
        <v>1.2811594202898551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1</v>
      </c>
      <c r="BE425" s="1">
        <v>1</v>
      </c>
      <c r="BF425" s="1">
        <v>1</v>
      </c>
      <c r="BG425" s="1">
        <v>22</v>
      </c>
      <c r="BH425" s="1">
        <v>79302.86</v>
      </c>
      <c r="BI425" s="1">
        <v>1</v>
      </c>
      <c r="BJ425" s="1">
        <v>1</v>
      </c>
    </row>
    <row r="426" spans="1:62" x14ac:dyDescent="0.3">
      <c r="A426">
        <v>1</v>
      </c>
      <c r="B426">
        <v>425</v>
      </c>
      <c r="C426" s="1" t="s">
        <v>101</v>
      </c>
      <c r="D426">
        <v>1</v>
      </c>
      <c r="E426" s="2" t="s">
        <v>168</v>
      </c>
      <c r="F426" s="4" t="s">
        <v>70</v>
      </c>
      <c r="G426" s="1">
        <v>1</v>
      </c>
      <c r="H426" s="1">
        <v>1</v>
      </c>
      <c r="I426" s="1">
        <v>1</v>
      </c>
      <c r="J426" s="1" t="s">
        <v>184</v>
      </c>
      <c r="K426" s="1">
        <v>22.04</v>
      </c>
      <c r="L426" s="1">
        <v>0</v>
      </c>
      <c r="M426" s="1">
        <v>1</v>
      </c>
      <c r="N426" s="1">
        <v>1</v>
      </c>
      <c r="O426" s="1">
        <v>1</v>
      </c>
      <c r="P426" s="1">
        <v>1</v>
      </c>
      <c r="Q426" s="1">
        <v>0</v>
      </c>
      <c r="R426" s="1">
        <v>1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2</v>
      </c>
      <c r="AA426" s="1">
        <v>1.1100000000000001</v>
      </c>
      <c r="AB426" s="1">
        <v>23.79</v>
      </c>
      <c r="AC426" s="1">
        <v>41</v>
      </c>
      <c r="AD426">
        <f t="shared" si="13"/>
        <v>58.024390243902438</v>
      </c>
      <c r="AE426" s="1">
        <v>5</v>
      </c>
      <c r="AF426" s="1">
        <v>657</v>
      </c>
      <c r="AG426" s="1">
        <v>75.599999999999994</v>
      </c>
      <c r="AH426" s="1">
        <v>176</v>
      </c>
      <c r="AI426">
        <v>18.600000000000001</v>
      </c>
      <c r="AJ426" s="1">
        <v>8.5299999999999994</v>
      </c>
      <c r="AK426" s="1">
        <v>96.1</v>
      </c>
      <c r="AL426" s="1">
        <v>5.5</v>
      </c>
      <c r="AM426" s="1">
        <v>78.8</v>
      </c>
      <c r="AN426" s="1">
        <v>1067</v>
      </c>
      <c r="AO426" s="1">
        <v>61</v>
      </c>
      <c r="AP426" s="1">
        <v>875</v>
      </c>
      <c r="AQ426">
        <f>AL426/AM426</f>
        <v>6.9796954314720813E-2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1</v>
      </c>
      <c r="BE426" s="1">
        <v>1</v>
      </c>
      <c r="BF426" s="1">
        <v>1</v>
      </c>
      <c r="BG426" s="1">
        <v>9</v>
      </c>
      <c r="BH426">
        <f>45930.96+6.3+18150+2190+420+4236+50+4450+672+3240+740</f>
        <v>80085.260000000009</v>
      </c>
      <c r="BI426" s="1">
        <v>0</v>
      </c>
      <c r="BJ426" s="1">
        <v>0</v>
      </c>
    </row>
    <row r="427" spans="1:62" x14ac:dyDescent="0.3">
      <c r="A427" s="1">
        <v>1</v>
      </c>
      <c r="B427" s="1">
        <v>426</v>
      </c>
      <c r="C427" s="1" t="s">
        <v>60</v>
      </c>
      <c r="D427">
        <v>0</v>
      </c>
      <c r="E427" s="6">
        <v>42943</v>
      </c>
      <c r="F427" s="1" t="s">
        <v>56</v>
      </c>
      <c r="G427" s="1">
        <v>0</v>
      </c>
      <c r="H427" s="1">
        <v>0</v>
      </c>
      <c r="I427" s="1">
        <v>2</v>
      </c>
      <c r="J427" s="1" t="s">
        <v>192</v>
      </c>
      <c r="K427" s="1">
        <v>23.64</v>
      </c>
      <c r="L427" s="1">
        <v>0</v>
      </c>
      <c r="M427" s="1">
        <v>1</v>
      </c>
      <c r="N427" s="1">
        <v>1</v>
      </c>
      <c r="O427" s="1">
        <v>0</v>
      </c>
      <c r="P427" s="1">
        <v>1</v>
      </c>
      <c r="Q427" s="1">
        <v>1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2</v>
      </c>
      <c r="AA427">
        <v>1.8069900000000001</v>
      </c>
      <c r="AB427" s="1">
        <v>9.6999999999999993</v>
      </c>
      <c r="AC427" s="1">
        <v>21</v>
      </c>
      <c r="AD427">
        <f t="shared" si="13"/>
        <v>46.190476190476183</v>
      </c>
      <c r="AK427" s="1">
        <v>70</v>
      </c>
      <c r="AL427" s="1">
        <v>44.3</v>
      </c>
      <c r="AM427" s="1">
        <v>22.5</v>
      </c>
      <c r="AN427" s="1">
        <v>1267</v>
      </c>
      <c r="AO427" s="1">
        <v>802</v>
      </c>
      <c r="AP427" s="1">
        <v>407</v>
      </c>
      <c r="AQ427">
        <f>AL427/AM427</f>
        <v>1.9688888888888887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1</v>
      </c>
      <c r="BE427" s="1">
        <v>0</v>
      </c>
      <c r="BF427" s="1">
        <v>0</v>
      </c>
      <c r="BG427" s="1">
        <v>7</v>
      </c>
      <c r="BH427" s="1">
        <v>8387.24</v>
      </c>
      <c r="BI427" s="1">
        <v>0</v>
      </c>
      <c r="BJ427" s="1">
        <v>0</v>
      </c>
    </row>
    <row r="428" spans="1:62" x14ac:dyDescent="0.3">
      <c r="A428" s="1">
        <v>1</v>
      </c>
      <c r="B428">
        <v>427</v>
      </c>
      <c r="C428" s="1" t="s">
        <v>60</v>
      </c>
      <c r="D428">
        <v>0</v>
      </c>
      <c r="E428" s="6">
        <v>42730</v>
      </c>
      <c r="F428" s="1" t="s">
        <v>121</v>
      </c>
      <c r="G428" s="1">
        <v>1</v>
      </c>
      <c r="H428" s="1">
        <v>1</v>
      </c>
      <c r="I428" s="1">
        <v>2</v>
      </c>
      <c r="J428" s="1" t="s">
        <v>191</v>
      </c>
      <c r="K428" s="1">
        <v>25.1</v>
      </c>
      <c r="L428" s="1">
        <v>0</v>
      </c>
      <c r="M428" s="1">
        <v>1</v>
      </c>
      <c r="N428" s="1">
        <v>1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2</v>
      </c>
      <c r="AA428">
        <v>1.4147399999999999</v>
      </c>
      <c r="AB428" s="1">
        <v>20.059999999999999</v>
      </c>
      <c r="AC428">
        <f>21+8*4</f>
        <v>53</v>
      </c>
      <c r="AD428">
        <f t="shared" si="13"/>
        <v>37.849056603773583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1</v>
      </c>
      <c r="BC428">
        <v>0</v>
      </c>
      <c r="BD428" s="1">
        <v>1</v>
      </c>
      <c r="BE428" s="1">
        <v>1</v>
      </c>
      <c r="BF428" s="1">
        <v>0</v>
      </c>
      <c r="BG428" s="1">
        <v>10</v>
      </c>
      <c r="BH428" s="1">
        <v>82931.27</v>
      </c>
      <c r="BI428" s="1">
        <v>0</v>
      </c>
      <c r="BJ428" s="1">
        <v>1</v>
      </c>
    </row>
    <row r="429" spans="1:62" x14ac:dyDescent="0.3">
      <c r="A429">
        <v>1</v>
      </c>
      <c r="B429" s="1">
        <v>428</v>
      </c>
      <c r="C429" t="s">
        <v>60</v>
      </c>
      <c r="D429">
        <v>0</v>
      </c>
      <c r="E429" s="2" t="s">
        <v>165</v>
      </c>
      <c r="F429" s="4" t="s">
        <v>70</v>
      </c>
      <c r="G429" s="1">
        <v>0</v>
      </c>
      <c r="H429" s="1">
        <v>1</v>
      </c>
      <c r="I429" s="1">
        <v>3</v>
      </c>
      <c r="J429" s="1" t="s">
        <v>190</v>
      </c>
      <c r="K429" s="1">
        <v>25.71</v>
      </c>
      <c r="L429" s="1">
        <v>0</v>
      </c>
      <c r="M429" s="1">
        <v>1</v>
      </c>
      <c r="N429" s="1">
        <v>1</v>
      </c>
      <c r="O429" s="1">
        <v>1</v>
      </c>
      <c r="P429" s="1">
        <v>1</v>
      </c>
      <c r="Q429" s="1">
        <v>1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1</v>
      </c>
      <c r="Y429" s="1">
        <v>0</v>
      </c>
      <c r="Z429" s="1">
        <v>2</v>
      </c>
      <c r="AA429" s="1">
        <v>0.73</v>
      </c>
      <c r="AB429" s="1">
        <v>7.52</v>
      </c>
      <c r="AC429" s="1">
        <v>21</v>
      </c>
      <c r="AD429">
        <f t="shared" si="13"/>
        <v>35.80952380952381</v>
      </c>
      <c r="AK429">
        <v>31.6</v>
      </c>
      <c r="AL429">
        <v>19.100000000000001</v>
      </c>
      <c r="AM429">
        <v>12.4</v>
      </c>
      <c r="AN429">
        <v>386</v>
      </c>
      <c r="AO429">
        <v>233</v>
      </c>
      <c r="AP429">
        <v>151</v>
      </c>
      <c r="AQ429">
        <f>AL429/AM429</f>
        <v>1.5403225806451613</v>
      </c>
      <c r="AR429">
        <v>1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2</v>
      </c>
      <c r="BE429" s="1">
        <v>2</v>
      </c>
      <c r="BF429" s="1">
        <v>1</v>
      </c>
      <c r="BG429" s="1">
        <v>50</v>
      </c>
      <c r="BH429">
        <f>90822.33+1256.84+201.59+51687+6655+1260+18027+3484+2635+3528+35+18180+3230</f>
        <v>201001.76</v>
      </c>
      <c r="BI429" s="1">
        <v>1</v>
      </c>
      <c r="BJ429" s="1">
        <v>1</v>
      </c>
    </row>
    <row r="430" spans="1:62" x14ac:dyDescent="0.3">
      <c r="A430">
        <v>1</v>
      </c>
      <c r="B430" s="1">
        <v>429</v>
      </c>
      <c r="C430" t="s">
        <v>69</v>
      </c>
      <c r="D430">
        <v>0</v>
      </c>
      <c r="E430" s="2">
        <v>43483</v>
      </c>
      <c r="F430" t="s">
        <v>63</v>
      </c>
      <c r="G430" s="1">
        <v>0</v>
      </c>
      <c r="H430" s="1">
        <v>0</v>
      </c>
      <c r="I430" s="1">
        <v>2</v>
      </c>
      <c r="J430" s="1" t="s">
        <v>191</v>
      </c>
      <c r="K430" s="1">
        <v>22.04</v>
      </c>
      <c r="L430" s="1">
        <v>0</v>
      </c>
      <c r="M430" s="1">
        <v>0</v>
      </c>
      <c r="N430" s="1">
        <v>0</v>
      </c>
      <c r="O430" s="1">
        <v>0</v>
      </c>
      <c r="P430" s="1">
        <v>1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2</v>
      </c>
      <c r="AA430" s="1">
        <v>1.53</v>
      </c>
      <c r="AB430" s="1">
        <v>12.95</v>
      </c>
      <c r="AC430" s="1">
        <v>33</v>
      </c>
      <c r="AD430">
        <f t="shared" si="13"/>
        <v>39.242424242424242</v>
      </c>
      <c r="AR430">
        <v>1</v>
      </c>
      <c r="AS430">
        <v>1</v>
      </c>
      <c r="AT430">
        <v>0</v>
      </c>
      <c r="AU430">
        <v>1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 s="1">
        <v>0</v>
      </c>
      <c r="BF430" s="1">
        <v>0</v>
      </c>
      <c r="BG430" s="1">
        <v>40</v>
      </c>
      <c r="BH430">
        <f>30716.52+4578.01+20161+7791+280+8398+1344+2320+3674+2000+3080.07</f>
        <v>84342.6</v>
      </c>
      <c r="BI430" s="1">
        <v>1</v>
      </c>
      <c r="BJ430" s="1">
        <v>1</v>
      </c>
    </row>
    <row r="431" spans="1:62" x14ac:dyDescent="0.3">
      <c r="A431" s="1">
        <v>1</v>
      </c>
      <c r="B431">
        <v>430</v>
      </c>
      <c r="C431" s="1" t="s">
        <v>60</v>
      </c>
      <c r="D431">
        <v>0</v>
      </c>
      <c r="E431" s="6">
        <v>42399</v>
      </c>
      <c r="F431" s="1" t="s">
        <v>52</v>
      </c>
      <c r="G431" s="1">
        <v>1</v>
      </c>
      <c r="H431" s="1">
        <v>1</v>
      </c>
      <c r="I431" s="1">
        <v>2</v>
      </c>
      <c r="J431" s="1" t="s">
        <v>193</v>
      </c>
      <c r="K431" s="1">
        <v>27.06</v>
      </c>
      <c r="L431" s="1">
        <v>0</v>
      </c>
      <c r="M431" s="1">
        <v>1</v>
      </c>
      <c r="N431" s="1">
        <v>1</v>
      </c>
      <c r="O431" s="1">
        <v>1</v>
      </c>
      <c r="P431" s="1">
        <v>1</v>
      </c>
      <c r="Q431" s="1">
        <v>1</v>
      </c>
      <c r="R431" s="1">
        <v>1</v>
      </c>
      <c r="S431" s="1">
        <v>0</v>
      </c>
      <c r="T431" s="1">
        <v>0</v>
      </c>
      <c r="U431" s="1">
        <v>0</v>
      </c>
      <c r="V431" s="1">
        <v>1</v>
      </c>
      <c r="W431" s="1">
        <v>0</v>
      </c>
      <c r="X431" s="1">
        <v>0</v>
      </c>
      <c r="Y431" s="1">
        <v>0</v>
      </c>
      <c r="Z431" s="1">
        <v>2</v>
      </c>
      <c r="AA431">
        <v>0.86844999999999994</v>
      </c>
      <c r="AB431" s="1">
        <v>8.91</v>
      </c>
      <c r="AC431" s="1">
        <v>90</v>
      </c>
      <c r="AD431">
        <f t="shared" si="13"/>
        <v>9.9</v>
      </c>
      <c r="AE431" s="1">
        <v>8.9</v>
      </c>
      <c r="AF431" s="1">
        <v>1517</v>
      </c>
      <c r="AG431" s="1">
        <v>13.7</v>
      </c>
      <c r="AH431" s="1">
        <v>1257</v>
      </c>
      <c r="AI431" s="1">
        <v>9.32</v>
      </c>
      <c r="AJ431" s="1">
        <v>10.7</v>
      </c>
      <c r="AK431" s="1">
        <v>61</v>
      </c>
      <c r="AL431" s="1">
        <v>45.7</v>
      </c>
      <c r="AM431" s="1">
        <v>14.3</v>
      </c>
      <c r="AN431" s="1">
        <v>531</v>
      </c>
      <c r="AO431" s="1">
        <v>398</v>
      </c>
      <c r="AP431" s="1">
        <v>124</v>
      </c>
      <c r="AQ431">
        <f t="shared" ref="AQ431:AQ436" si="14">AL431/AM431</f>
        <v>3.1958041958041958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>
        <v>0</v>
      </c>
      <c r="BB431">
        <v>0</v>
      </c>
      <c r="BC431">
        <v>0</v>
      </c>
      <c r="BD431" s="1">
        <v>4</v>
      </c>
      <c r="BE431" s="1">
        <v>3</v>
      </c>
      <c r="BF431" s="1">
        <v>1</v>
      </c>
      <c r="BG431" s="1">
        <v>4</v>
      </c>
      <c r="BH431" s="1">
        <v>28864.38</v>
      </c>
      <c r="BI431" s="1">
        <v>1</v>
      </c>
      <c r="BJ431" s="1">
        <v>1</v>
      </c>
    </row>
    <row r="432" spans="1:62" x14ac:dyDescent="0.3">
      <c r="A432">
        <v>2</v>
      </c>
      <c r="B432" s="1">
        <v>431</v>
      </c>
      <c r="C432" t="s">
        <v>60</v>
      </c>
      <c r="D432">
        <v>0</v>
      </c>
      <c r="E432" s="2" t="s">
        <v>166</v>
      </c>
      <c r="F432" s="4" t="s">
        <v>143</v>
      </c>
      <c r="G432" s="1">
        <v>0</v>
      </c>
      <c r="H432" s="1">
        <v>1</v>
      </c>
      <c r="I432" s="1">
        <v>2</v>
      </c>
      <c r="J432" s="1" t="s">
        <v>190</v>
      </c>
      <c r="K432" s="1">
        <v>21.88</v>
      </c>
      <c r="L432" s="1">
        <v>0</v>
      </c>
      <c r="M432" s="1">
        <v>0</v>
      </c>
      <c r="N432" s="1">
        <v>0</v>
      </c>
      <c r="O432" s="1">
        <v>1</v>
      </c>
      <c r="P432" s="1">
        <v>1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1</v>
      </c>
      <c r="Z432" s="1">
        <v>2</v>
      </c>
      <c r="AA432" s="1">
        <v>1.19</v>
      </c>
      <c r="AB432" s="1">
        <v>16.45</v>
      </c>
      <c r="AC432" s="1">
        <v>41</v>
      </c>
      <c r="AD432">
        <f t="shared" si="13"/>
        <v>40.121951219512198</v>
      </c>
      <c r="AE432" s="1">
        <v>5</v>
      </c>
      <c r="AF432" s="1">
        <v>614</v>
      </c>
      <c r="AG432" s="1">
        <v>33.5</v>
      </c>
      <c r="AH432" s="1">
        <v>93.1</v>
      </c>
      <c r="AI432" s="1">
        <v>5</v>
      </c>
      <c r="AJ432" s="1">
        <v>10.9</v>
      </c>
      <c r="AK432" s="1">
        <v>59.6</v>
      </c>
      <c r="AL432" s="1">
        <v>30.5</v>
      </c>
      <c r="AM432" s="1">
        <v>28.9</v>
      </c>
      <c r="AN432" s="1">
        <v>489</v>
      </c>
      <c r="AO432" s="1">
        <v>250</v>
      </c>
      <c r="AP432" s="1">
        <v>237</v>
      </c>
      <c r="AQ432">
        <f t="shared" si="14"/>
        <v>1.0553633217993079</v>
      </c>
      <c r="AR432" s="1">
        <v>1</v>
      </c>
      <c r="AS432" s="1">
        <v>1</v>
      </c>
      <c r="AT432" s="1">
        <v>1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1</v>
      </c>
      <c r="BE432" s="1">
        <v>2</v>
      </c>
      <c r="BF432" s="1">
        <v>1</v>
      </c>
      <c r="BG432" s="1">
        <v>36</v>
      </c>
      <c r="BH432">
        <f>28096.54+154.46+23647+3257+420+3869+7258+1978+11868+1888+87.5+4018.03</f>
        <v>86541.53</v>
      </c>
      <c r="BI432" s="1">
        <v>0</v>
      </c>
      <c r="BJ432" s="1">
        <v>0</v>
      </c>
    </row>
    <row r="433" spans="1:62" x14ac:dyDescent="0.3">
      <c r="A433" s="1">
        <v>1</v>
      </c>
      <c r="B433">
        <v>432</v>
      </c>
      <c r="C433" s="1" t="s">
        <v>51</v>
      </c>
      <c r="D433">
        <v>0</v>
      </c>
      <c r="E433" s="6">
        <v>42805</v>
      </c>
      <c r="F433" s="1" t="s">
        <v>56</v>
      </c>
      <c r="G433" s="1">
        <v>0</v>
      </c>
      <c r="H433" s="1">
        <v>0</v>
      </c>
      <c r="I433" s="1">
        <v>2</v>
      </c>
      <c r="J433" s="1" t="s">
        <v>193</v>
      </c>
      <c r="K433" s="1">
        <v>27.68</v>
      </c>
      <c r="L433" s="1">
        <v>2</v>
      </c>
      <c r="M433" s="1">
        <v>1</v>
      </c>
      <c r="N433" s="1">
        <v>1</v>
      </c>
      <c r="O433" s="1">
        <v>0</v>
      </c>
      <c r="P433" s="1">
        <v>1</v>
      </c>
      <c r="Q433" s="1">
        <v>1</v>
      </c>
      <c r="R433" s="1">
        <v>0</v>
      </c>
      <c r="S433" s="1">
        <v>0</v>
      </c>
      <c r="T433" s="1">
        <v>0</v>
      </c>
      <c r="U433" s="1">
        <v>0</v>
      </c>
      <c r="V433" s="1">
        <v>1</v>
      </c>
      <c r="W433" s="1">
        <v>0</v>
      </c>
      <c r="X433" s="1">
        <v>1</v>
      </c>
      <c r="Y433" s="1">
        <v>0</v>
      </c>
      <c r="Z433" s="1">
        <v>2</v>
      </c>
      <c r="AA433">
        <v>1.3283400000000001</v>
      </c>
      <c r="AB433" s="1">
        <v>11.41</v>
      </c>
      <c r="AC433" s="1">
        <v>21</v>
      </c>
      <c r="AD433">
        <f t="shared" si="13"/>
        <v>54.333333333333336</v>
      </c>
      <c r="AK433" s="1">
        <v>84.4</v>
      </c>
      <c r="AL433" s="1">
        <v>45.2</v>
      </c>
      <c r="AM433" s="1">
        <v>38.9</v>
      </c>
      <c r="AQ433">
        <f t="shared" si="14"/>
        <v>1.1619537275064269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2</v>
      </c>
      <c r="BE433" s="1">
        <v>0</v>
      </c>
      <c r="BF433" s="1">
        <v>0</v>
      </c>
      <c r="BG433" s="1">
        <v>10</v>
      </c>
      <c r="BH433" s="1">
        <v>29211.9</v>
      </c>
      <c r="BI433" s="1">
        <v>0</v>
      </c>
      <c r="BJ433" s="1">
        <v>0</v>
      </c>
    </row>
    <row r="434" spans="1:62" x14ac:dyDescent="0.3">
      <c r="A434" s="1">
        <v>1</v>
      </c>
      <c r="B434" s="1">
        <v>433</v>
      </c>
      <c r="C434" s="1" t="s">
        <v>60</v>
      </c>
      <c r="D434">
        <v>0</v>
      </c>
      <c r="E434" s="6">
        <v>42770</v>
      </c>
      <c r="F434" s="1" t="s">
        <v>61</v>
      </c>
      <c r="G434" s="1">
        <v>0</v>
      </c>
      <c r="H434" s="1">
        <v>1</v>
      </c>
      <c r="I434" s="1">
        <v>3</v>
      </c>
      <c r="J434" s="1" t="s">
        <v>190</v>
      </c>
      <c r="K434" s="1">
        <v>25.71</v>
      </c>
      <c r="L434" s="1">
        <v>0</v>
      </c>
      <c r="M434" s="1">
        <v>1</v>
      </c>
      <c r="N434" s="1">
        <v>1</v>
      </c>
      <c r="O434" s="1">
        <v>1</v>
      </c>
      <c r="P434" s="1">
        <v>1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1</v>
      </c>
      <c r="Z434" s="1">
        <v>2</v>
      </c>
      <c r="AA434">
        <v>0.73260000000000003</v>
      </c>
      <c r="AB434" s="1">
        <v>8.4</v>
      </c>
      <c r="AC434" s="1">
        <v>100</v>
      </c>
      <c r="AD434">
        <f t="shared" si="13"/>
        <v>8.4</v>
      </c>
      <c r="AK434" s="1">
        <v>31.6</v>
      </c>
      <c r="AL434" s="1">
        <v>19.100000000000001</v>
      </c>
      <c r="AM434" s="1">
        <v>12.4</v>
      </c>
      <c r="AN434" s="1">
        <v>386</v>
      </c>
      <c r="AO434" s="1">
        <v>233</v>
      </c>
      <c r="AP434" s="1">
        <v>151</v>
      </c>
      <c r="AQ434">
        <f t="shared" si="14"/>
        <v>1.5403225806451613</v>
      </c>
      <c r="AR434" s="1">
        <v>1</v>
      </c>
      <c r="AS434" s="1">
        <v>1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3</v>
      </c>
      <c r="BE434" s="1">
        <v>3</v>
      </c>
      <c r="BF434" s="1">
        <v>1</v>
      </c>
      <c r="BG434" s="1">
        <v>50</v>
      </c>
      <c r="BH434" s="1">
        <v>212792.63</v>
      </c>
      <c r="BI434" s="1">
        <v>1</v>
      </c>
      <c r="BJ434" s="1">
        <v>1</v>
      </c>
    </row>
    <row r="435" spans="1:62" x14ac:dyDescent="0.3">
      <c r="A435" s="1">
        <v>1</v>
      </c>
      <c r="B435" s="1">
        <v>434</v>
      </c>
      <c r="C435" s="1" t="s">
        <v>54</v>
      </c>
      <c r="D435">
        <v>0</v>
      </c>
      <c r="E435" s="6">
        <v>43218</v>
      </c>
      <c r="F435" s="1" t="s">
        <v>52</v>
      </c>
      <c r="G435" s="1">
        <v>0</v>
      </c>
      <c r="H435" s="1">
        <v>1</v>
      </c>
      <c r="I435" s="1">
        <v>3</v>
      </c>
      <c r="J435" s="1" t="s">
        <v>189</v>
      </c>
      <c r="K435" s="1">
        <v>17.579999999999998</v>
      </c>
      <c r="L435" s="1">
        <v>0</v>
      </c>
      <c r="M435" s="1">
        <v>1</v>
      </c>
      <c r="N435" s="1">
        <v>1</v>
      </c>
      <c r="O435" s="1">
        <v>0</v>
      </c>
      <c r="P435" s="1">
        <v>1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2</v>
      </c>
      <c r="AA435">
        <v>1.7442</v>
      </c>
      <c r="AB435" s="1">
        <v>12.08</v>
      </c>
      <c r="AC435" s="1">
        <v>21</v>
      </c>
      <c r="AD435">
        <f t="shared" si="13"/>
        <v>57.523809523809526</v>
      </c>
      <c r="AE435" s="1">
        <v>5</v>
      </c>
      <c r="AF435" s="1">
        <v>1144</v>
      </c>
      <c r="AG435" s="1">
        <v>3.94</v>
      </c>
      <c r="AH435" s="1">
        <v>12.9</v>
      </c>
      <c r="AI435" s="1">
        <v>5</v>
      </c>
      <c r="AJ435" s="1">
        <v>17.600000000000001</v>
      </c>
      <c r="AK435" s="1">
        <v>85.6</v>
      </c>
      <c r="AL435" s="1">
        <v>34</v>
      </c>
      <c r="AM435" s="1">
        <v>50.7</v>
      </c>
      <c r="AN435" s="1">
        <v>1566</v>
      </c>
      <c r="AO435" s="1">
        <v>622</v>
      </c>
      <c r="AP435" s="1">
        <v>928</v>
      </c>
      <c r="AQ435">
        <f t="shared" si="14"/>
        <v>0.67061143984220906</v>
      </c>
      <c r="AR435" s="1">
        <v>1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1</v>
      </c>
      <c r="AY435" s="1">
        <v>0</v>
      </c>
      <c r="AZ435" s="1">
        <v>0</v>
      </c>
      <c r="BA435" s="1">
        <v>0</v>
      </c>
      <c r="BB435" s="1">
        <v>0</v>
      </c>
      <c r="BC435" s="1">
        <v>1</v>
      </c>
      <c r="BD435" s="1">
        <v>0</v>
      </c>
      <c r="BE435" s="1">
        <v>0</v>
      </c>
      <c r="BF435" s="1">
        <v>1</v>
      </c>
      <c r="BG435" s="1">
        <v>24</v>
      </c>
      <c r="BH435" s="1">
        <v>87528.8</v>
      </c>
      <c r="BI435" s="1">
        <v>0</v>
      </c>
      <c r="BJ435" s="1">
        <v>0</v>
      </c>
    </row>
    <row r="436" spans="1:62" x14ac:dyDescent="0.3">
      <c r="A436" s="1">
        <v>1</v>
      </c>
      <c r="B436">
        <v>435</v>
      </c>
      <c r="C436" s="1" t="s">
        <v>49</v>
      </c>
      <c r="D436">
        <v>0</v>
      </c>
      <c r="E436" s="6">
        <v>42982</v>
      </c>
      <c r="F436" s="1" t="s">
        <v>56</v>
      </c>
      <c r="G436" s="1">
        <v>0</v>
      </c>
      <c r="H436" s="1">
        <v>1</v>
      </c>
      <c r="I436" s="1">
        <v>3</v>
      </c>
      <c r="J436" s="1" t="s">
        <v>186</v>
      </c>
      <c r="K436" s="1">
        <v>31.64</v>
      </c>
      <c r="L436" s="1">
        <v>0</v>
      </c>
      <c r="M436" s="1">
        <v>1</v>
      </c>
      <c r="N436" s="1">
        <v>1</v>
      </c>
      <c r="O436" s="1">
        <v>1</v>
      </c>
      <c r="P436" s="1">
        <v>1</v>
      </c>
      <c r="Q436" s="1">
        <v>0</v>
      </c>
      <c r="R436" s="1">
        <v>1</v>
      </c>
      <c r="S436" s="1">
        <v>1</v>
      </c>
      <c r="T436" s="1">
        <v>0</v>
      </c>
      <c r="U436" s="1">
        <v>0</v>
      </c>
      <c r="V436" s="1">
        <v>0</v>
      </c>
      <c r="W436" s="1">
        <v>0</v>
      </c>
      <c r="X436" s="1">
        <v>1</v>
      </c>
      <c r="Y436" s="1">
        <v>0</v>
      </c>
      <c r="Z436" s="1">
        <v>2</v>
      </c>
      <c r="AA436">
        <v>0.7581</v>
      </c>
      <c r="AB436" s="1">
        <v>6.05</v>
      </c>
      <c r="AC436" s="1">
        <v>21</v>
      </c>
      <c r="AD436">
        <f t="shared" si="13"/>
        <v>28.80952380952381</v>
      </c>
      <c r="AG436" s="1">
        <v>5.07</v>
      </c>
      <c r="AK436" s="1">
        <v>53.8</v>
      </c>
      <c r="AL436" s="1">
        <v>25.7</v>
      </c>
      <c r="AM436" s="1">
        <v>27.5</v>
      </c>
      <c r="AN436" s="1">
        <v>357</v>
      </c>
      <c r="AO436" s="1">
        <v>155</v>
      </c>
      <c r="AP436" s="1">
        <v>203</v>
      </c>
      <c r="AQ436">
        <f t="shared" si="14"/>
        <v>0.93454545454545457</v>
      </c>
      <c r="AR436" s="1">
        <v>1</v>
      </c>
      <c r="AS436" s="1">
        <v>1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1</v>
      </c>
      <c r="BE436" s="1">
        <v>1</v>
      </c>
      <c r="BF436" s="1">
        <v>1</v>
      </c>
      <c r="BG436" s="1">
        <v>26</v>
      </c>
      <c r="BH436" s="1">
        <v>87940.64</v>
      </c>
      <c r="BI436" s="1">
        <v>1</v>
      </c>
      <c r="BJ436" s="1">
        <v>1</v>
      </c>
    </row>
    <row r="437" spans="1:62" x14ac:dyDescent="0.3">
      <c r="A437" s="1">
        <v>1</v>
      </c>
      <c r="B437" s="1">
        <v>436</v>
      </c>
      <c r="C437" s="1" t="s">
        <v>71</v>
      </c>
      <c r="D437">
        <v>0</v>
      </c>
      <c r="E437" s="6">
        <v>43096</v>
      </c>
      <c r="F437" s="1" t="s">
        <v>52</v>
      </c>
      <c r="G437" s="1">
        <v>0</v>
      </c>
      <c r="H437" s="1">
        <v>1</v>
      </c>
      <c r="I437" s="1">
        <v>2</v>
      </c>
      <c r="J437" s="1" t="s">
        <v>197</v>
      </c>
      <c r="K437" s="1">
        <v>19.53</v>
      </c>
      <c r="L437" s="1">
        <v>0</v>
      </c>
      <c r="M437" s="1">
        <v>1</v>
      </c>
      <c r="N437" s="1">
        <v>1</v>
      </c>
      <c r="O437" s="1">
        <v>0</v>
      </c>
      <c r="P437" s="1">
        <v>1</v>
      </c>
      <c r="Q437" s="1">
        <v>1</v>
      </c>
      <c r="R437" s="1">
        <v>0</v>
      </c>
      <c r="S437" s="1">
        <v>0</v>
      </c>
      <c r="T437" s="1">
        <v>0</v>
      </c>
      <c r="U437" s="1">
        <v>0</v>
      </c>
      <c r="V437" s="1">
        <v>1</v>
      </c>
      <c r="W437" s="1">
        <v>0</v>
      </c>
      <c r="X437" s="1">
        <v>0</v>
      </c>
      <c r="Y437" s="1">
        <v>0</v>
      </c>
      <c r="Z437" s="1">
        <v>2</v>
      </c>
      <c r="AA437">
        <v>0.67332000000000003</v>
      </c>
      <c r="AB437" s="1">
        <v>13.32</v>
      </c>
      <c r="AC437" s="1">
        <v>33</v>
      </c>
      <c r="AD437">
        <f t="shared" si="13"/>
        <v>40.363636363636367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2</v>
      </c>
      <c r="BE437" s="1">
        <v>0</v>
      </c>
      <c r="BF437" s="1">
        <v>1</v>
      </c>
      <c r="BG437" s="1">
        <v>34</v>
      </c>
      <c r="BH437" s="1">
        <v>272298.61</v>
      </c>
      <c r="BI437" s="1">
        <v>1</v>
      </c>
      <c r="BJ437" s="1">
        <v>0</v>
      </c>
    </row>
    <row r="438" spans="1:62" x14ac:dyDescent="0.3">
      <c r="A438" s="1">
        <v>1</v>
      </c>
      <c r="B438">
        <v>437</v>
      </c>
      <c r="C438" s="1" t="s">
        <v>54</v>
      </c>
      <c r="D438">
        <v>0</v>
      </c>
      <c r="E438" s="6">
        <v>42154</v>
      </c>
      <c r="F438" s="1" t="s">
        <v>52</v>
      </c>
      <c r="G438" s="1">
        <v>0</v>
      </c>
      <c r="H438" s="1">
        <v>1</v>
      </c>
      <c r="I438" s="1">
        <v>2</v>
      </c>
      <c r="J438" s="1" t="s">
        <v>191</v>
      </c>
      <c r="K438" s="1">
        <v>24.69</v>
      </c>
      <c r="L438" s="1">
        <v>0</v>
      </c>
      <c r="M438" s="1">
        <v>1</v>
      </c>
      <c r="N438" s="1">
        <v>0</v>
      </c>
      <c r="O438" s="1">
        <v>0</v>
      </c>
      <c r="P438" s="1"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1</v>
      </c>
      <c r="Z438" s="1">
        <v>2</v>
      </c>
      <c r="AA438">
        <v>0.93479999999999985</v>
      </c>
      <c r="AB438" s="1">
        <v>6.66</v>
      </c>
      <c r="AC438" s="1">
        <v>21</v>
      </c>
      <c r="AD438">
        <f t="shared" si="13"/>
        <v>31.714285714285715</v>
      </c>
      <c r="AE438" s="1">
        <v>5</v>
      </c>
      <c r="AF438" s="1">
        <v>2799</v>
      </c>
      <c r="AG438" s="1">
        <v>6.61</v>
      </c>
      <c r="AH438" s="1">
        <v>48.5</v>
      </c>
      <c r="AI438" s="1">
        <v>10.8</v>
      </c>
      <c r="AJ438" s="1">
        <v>21.6</v>
      </c>
      <c r="AK438" s="1">
        <v>83.6</v>
      </c>
      <c r="AL438" s="1">
        <v>38.299999999999997</v>
      </c>
      <c r="AM438" s="1">
        <v>42.2</v>
      </c>
      <c r="AN438" s="1">
        <v>502</v>
      </c>
      <c r="AO438" s="1">
        <v>230</v>
      </c>
      <c r="AP438" s="1">
        <v>253</v>
      </c>
      <c r="AQ438">
        <f>AL438/AM438</f>
        <v>0.90758293838862547</v>
      </c>
      <c r="AR438" s="1">
        <v>1</v>
      </c>
      <c r="AS438" s="1">
        <v>1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1</v>
      </c>
      <c r="AZ438" s="1">
        <v>0</v>
      </c>
      <c r="BA438" s="1">
        <v>0</v>
      </c>
      <c r="BB438" s="1">
        <v>0</v>
      </c>
      <c r="BC438" s="1">
        <v>0</v>
      </c>
      <c r="BD438" s="1">
        <v>2</v>
      </c>
      <c r="BE438" s="1">
        <v>1</v>
      </c>
      <c r="BF438" s="1">
        <v>1</v>
      </c>
      <c r="BG438" s="1">
        <v>40</v>
      </c>
      <c r="BH438" s="1">
        <v>89212.56</v>
      </c>
      <c r="BI438" s="1">
        <v>1</v>
      </c>
      <c r="BJ438" s="1">
        <v>1</v>
      </c>
    </row>
    <row r="439" spans="1:62" x14ac:dyDescent="0.3">
      <c r="A439" s="1">
        <v>1</v>
      </c>
      <c r="B439" s="1">
        <v>438</v>
      </c>
      <c r="C439" s="1" t="s">
        <v>71</v>
      </c>
      <c r="D439">
        <v>0</v>
      </c>
      <c r="E439" s="6">
        <v>43090</v>
      </c>
      <c r="F439" s="1" t="s">
        <v>52</v>
      </c>
      <c r="G439" s="1">
        <v>1</v>
      </c>
      <c r="H439" s="1">
        <v>1</v>
      </c>
      <c r="I439" s="1">
        <v>3</v>
      </c>
      <c r="J439" s="1" t="s">
        <v>189</v>
      </c>
      <c r="K439" s="1">
        <v>21.97</v>
      </c>
      <c r="L439" s="1">
        <v>0</v>
      </c>
      <c r="M439" s="1">
        <v>1</v>
      </c>
      <c r="N439" s="1">
        <v>1</v>
      </c>
      <c r="O439" s="1">
        <v>0</v>
      </c>
      <c r="P439" s="1">
        <v>1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2</v>
      </c>
      <c r="AA439">
        <v>0.68096000000000001</v>
      </c>
      <c r="AB439" s="1">
        <v>9.3699999999999992</v>
      </c>
      <c r="AC439" s="1">
        <v>41</v>
      </c>
      <c r="AD439">
        <f t="shared" si="13"/>
        <v>22.853658536585364</v>
      </c>
      <c r="AE439" s="1">
        <v>9.32</v>
      </c>
      <c r="AF439" s="1">
        <v>1851</v>
      </c>
      <c r="AG439" s="1">
        <v>681</v>
      </c>
      <c r="AH439" s="1">
        <v>151</v>
      </c>
      <c r="AI439" s="1">
        <v>28.8</v>
      </c>
      <c r="AJ439" s="1">
        <v>18.3</v>
      </c>
      <c r="AK439" s="1">
        <v>51.9</v>
      </c>
      <c r="AL439" s="1">
        <v>30.1</v>
      </c>
      <c r="AM439" s="1">
        <v>22.1</v>
      </c>
      <c r="AN439" s="1">
        <v>358</v>
      </c>
      <c r="AO439" s="1">
        <v>208</v>
      </c>
      <c r="AP439" s="1">
        <v>152</v>
      </c>
      <c r="AQ439">
        <f>AL439/AM439</f>
        <v>1.3619909502262444</v>
      </c>
      <c r="AR439" s="1">
        <v>1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1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2</v>
      </c>
      <c r="BE439" s="1">
        <v>0</v>
      </c>
      <c r="BF439" s="1">
        <v>1</v>
      </c>
      <c r="BG439" s="1">
        <v>10</v>
      </c>
      <c r="BH439" s="1">
        <v>90133.43</v>
      </c>
      <c r="BI439" s="1">
        <v>0</v>
      </c>
      <c r="BJ439" s="1">
        <v>1</v>
      </c>
    </row>
    <row r="440" spans="1:62" x14ac:dyDescent="0.3">
      <c r="A440" s="1">
        <v>1</v>
      </c>
      <c r="B440" s="1">
        <v>439</v>
      </c>
      <c r="C440" s="1" t="s">
        <v>62</v>
      </c>
      <c r="D440">
        <v>0</v>
      </c>
      <c r="E440" s="6">
        <v>42569</v>
      </c>
      <c r="F440" s="1" t="s">
        <v>52</v>
      </c>
      <c r="G440" s="1">
        <v>1</v>
      </c>
      <c r="H440" s="1">
        <v>1</v>
      </c>
      <c r="I440" s="1">
        <v>2</v>
      </c>
      <c r="J440" s="1" t="s">
        <v>196</v>
      </c>
      <c r="K440" s="1">
        <v>20.76</v>
      </c>
      <c r="L440" s="1">
        <v>1</v>
      </c>
      <c r="M440" s="1">
        <v>1</v>
      </c>
      <c r="N440" s="1">
        <v>1</v>
      </c>
      <c r="O440" s="1">
        <v>0</v>
      </c>
      <c r="P440" s="1">
        <v>1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2</v>
      </c>
      <c r="AA440">
        <v>0.66287999999999991</v>
      </c>
      <c r="AB440" s="1">
        <v>6.86</v>
      </c>
      <c r="AC440" s="1">
        <v>21</v>
      </c>
      <c r="AD440">
        <f t="shared" si="13"/>
        <v>32.666666666666664</v>
      </c>
      <c r="AE440" s="1">
        <v>5</v>
      </c>
      <c r="AF440" s="1">
        <v>1900</v>
      </c>
      <c r="AG440" s="1">
        <v>72.7</v>
      </c>
      <c r="AH440" s="1">
        <v>20.2</v>
      </c>
      <c r="AI440" s="1">
        <v>5</v>
      </c>
      <c r="AJ440" s="1">
        <v>11.1</v>
      </c>
      <c r="AK440" s="1">
        <v>48.3</v>
      </c>
      <c r="AL440" s="1">
        <v>26.1</v>
      </c>
      <c r="AM440" s="1">
        <v>22.2</v>
      </c>
      <c r="AQ440">
        <f>AL440/AM440</f>
        <v>1.1756756756756759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1</v>
      </c>
      <c r="BC440" s="1">
        <v>0</v>
      </c>
      <c r="BD440" s="1">
        <v>2</v>
      </c>
      <c r="BE440" s="1">
        <v>3</v>
      </c>
      <c r="BF440" s="1">
        <v>1</v>
      </c>
      <c r="BG440" s="1">
        <v>16</v>
      </c>
      <c r="BH440" s="1">
        <v>90745.43</v>
      </c>
      <c r="BI440" s="1">
        <v>0</v>
      </c>
      <c r="BJ440" s="1">
        <v>1</v>
      </c>
    </row>
    <row r="441" spans="1:62" x14ac:dyDescent="0.3">
      <c r="A441" s="1">
        <v>1</v>
      </c>
      <c r="B441">
        <v>440</v>
      </c>
      <c r="C441" s="1" t="s">
        <v>62</v>
      </c>
      <c r="D441">
        <v>0</v>
      </c>
      <c r="E441" s="6">
        <v>42569</v>
      </c>
      <c r="F441" s="1" t="s">
        <v>52</v>
      </c>
      <c r="G441" s="1">
        <v>1</v>
      </c>
      <c r="H441" s="1">
        <v>1</v>
      </c>
      <c r="I441" s="1">
        <v>2</v>
      </c>
      <c r="J441" s="1" t="s">
        <v>196</v>
      </c>
      <c r="K441" s="1">
        <v>20.76</v>
      </c>
      <c r="L441" s="1">
        <v>1</v>
      </c>
      <c r="M441" s="1">
        <v>1</v>
      </c>
      <c r="N441" s="1">
        <v>1</v>
      </c>
      <c r="O441" s="1">
        <v>0</v>
      </c>
      <c r="P441" s="1">
        <v>1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2</v>
      </c>
      <c r="AA441">
        <v>0.66287999999999991</v>
      </c>
      <c r="AB441" s="1">
        <v>6.86</v>
      </c>
      <c r="AC441" s="1">
        <v>21</v>
      </c>
      <c r="AD441">
        <f t="shared" si="13"/>
        <v>32.666666666666664</v>
      </c>
      <c r="AE441" s="1">
        <v>5</v>
      </c>
      <c r="AF441" s="1">
        <v>1900</v>
      </c>
      <c r="AG441" s="1">
        <v>72.7</v>
      </c>
      <c r="AH441" s="1">
        <v>20.2</v>
      </c>
      <c r="AI441" s="1">
        <v>5</v>
      </c>
      <c r="AJ441" s="1">
        <v>11.1</v>
      </c>
      <c r="AK441" s="1">
        <v>48.3</v>
      </c>
      <c r="AL441" s="1">
        <v>26.1</v>
      </c>
      <c r="AM441" s="1">
        <v>22.2</v>
      </c>
      <c r="AQ441">
        <f>AL441/AM441</f>
        <v>1.1756756756756759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1</v>
      </c>
      <c r="BC441">
        <v>0</v>
      </c>
      <c r="BD441" s="1">
        <v>2</v>
      </c>
      <c r="BE441" s="1">
        <v>3</v>
      </c>
      <c r="BF441" s="1">
        <v>1</v>
      </c>
      <c r="BG441" s="1">
        <v>16</v>
      </c>
      <c r="BH441" s="1">
        <v>90745.43</v>
      </c>
      <c r="BI441" s="1">
        <v>0</v>
      </c>
      <c r="BJ441" s="1">
        <v>1</v>
      </c>
    </row>
    <row r="442" spans="1:62" x14ac:dyDescent="0.3">
      <c r="A442" s="1">
        <v>1</v>
      </c>
      <c r="B442" s="1">
        <v>441</v>
      </c>
      <c r="C442" s="1" t="s">
        <v>51</v>
      </c>
      <c r="D442">
        <v>0</v>
      </c>
      <c r="E442" s="6">
        <v>42506</v>
      </c>
      <c r="F442" s="1" t="s">
        <v>53</v>
      </c>
      <c r="G442" s="1">
        <v>0</v>
      </c>
      <c r="H442" s="1">
        <v>1</v>
      </c>
      <c r="I442" s="1">
        <v>1</v>
      </c>
      <c r="J442" s="1" t="s">
        <v>184</v>
      </c>
      <c r="K442" s="1">
        <v>21.09</v>
      </c>
      <c r="L442" s="1">
        <v>0</v>
      </c>
      <c r="M442" s="1">
        <v>1</v>
      </c>
      <c r="N442" s="1">
        <v>1</v>
      </c>
      <c r="O442" s="1">
        <v>1</v>
      </c>
      <c r="P442" s="1">
        <v>1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1</v>
      </c>
      <c r="Y442" s="1">
        <v>0</v>
      </c>
      <c r="Z442" s="1">
        <v>2</v>
      </c>
      <c r="AA442">
        <v>1.43397</v>
      </c>
      <c r="AB442" s="1">
        <v>8.92</v>
      </c>
      <c r="AC442" s="1">
        <v>95</v>
      </c>
      <c r="AD442">
        <f t="shared" si="13"/>
        <v>9.3894736842105271</v>
      </c>
      <c r="AE442" s="1">
        <v>5</v>
      </c>
      <c r="AF442" s="1">
        <v>2599</v>
      </c>
      <c r="AG442" s="1">
        <v>8.2100000000000009</v>
      </c>
      <c r="AH442" s="1">
        <v>128</v>
      </c>
      <c r="AI442" s="1">
        <v>19.600000000000001</v>
      </c>
      <c r="AJ442" s="1">
        <v>18.5</v>
      </c>
      <c r="AK442" s="1">
        <v>72.400000000000006</v>
      </c>
      <c r="AL442" s="1">
        <v>22.2</v>
      </c>
      <c r="AM442" s="1">
        <v>47.5</v>
      </c>
      <c r="AQ442">
        <f>AL442/AM442</f>
        <v>0.46736842105263154</v>
      </c>
      <c r="AR442" s="1">
        <v>1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2</v>
      </c>
      <c r="BE442" s="1">
        <v>1</v>
      </c>
      <c r="BF442" s="1">
        <v>1</v>
      </c>
      <c r="BG442" s="1">
        <v>42</v>
      </c>
      <c r="BH442" s="1">
        <v>91325.59</v>
      </c>
      <c r="BI442" s="1">
        <v>0</v>
      </c>
      <c r="BJ442" s="1">
        <v>1</v>
      </c>
    </row>
    <row r="443" spans="1:62" x14ac:dyDescent="0.3">
      <c r="A443" s="1">
        <v>1</v>
      </c>
      <c r="B443">
        <v>442</v>
      </c>
      <c r="C443" s="1" t="s">
        <v>54</v>
      </c>
      <c r="D443">
        <v>0</v>
      </c>
      <c r="E443" s="6">
        <v>42910</v>
      </c>
      <c r="F443" s="1" t="s">
        <v>121</v>
      </c>
      <c r="G443" s="1">
        <v>0</v>
      </c>
      <c r="H443" s="1">
        <v>0</v>
      </c>
      <c r="I443" s="1">
        <v>2</v>
      </c>
      <c r="J443" s="1" t="s">
        <v>191</v>
      </c>
      <c r="K443" s="1">
        <v>24.77</v>
      </c>
      <c r="L443" s="1">
        <v>0</v>
      </c>
      <c r="M443" s="1">
        <v>0</v>
      </c>
      <c r="N443" s="1">
        <v>0</v>
      </c>
      <c r="O443" s="1">
        <v>0</v>
      </c>
      <c r="P443" s="1">
        <v>1</v>
      </c>
      <c r="Q443" s="1">
        <v>1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1</v>
      </c>
      <c r="AA443">
        <v>1.01898</v>
      </c>
      <c r="AB443" s="1">
        <v>9.8699999999999992</v>
      </c>
      <c r="AC443" s="1">
        <v>21</v>
      </c>
      <c r="AD443">
        <f t="shared" si="13"/>
        <v>46.999999999999993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 s="1">
        <v>0</v>
      </c>
      <c r="BE443" s="1">
        <v>1</v>
      </c>
      <c r="BF443" s="1">
        <v>0</v>
      </c>
      <c r="BG443" s="1">
        <v>5</v>
      </c>
      <c r="BH443">
        <f>2131+3744+543+73+450+126+112.5+49.5</f>
        <v>7229</v>
      </c>
      <c r="BI443" s="1">
        <v>0</v>
      </c>
      <c r="BJ443" s="1">
        <v>0</v>
      </c>
    </row>
    <row r="444" spans="1:62" x14ac:dyDescent="0.3">
      <c r="A444" s="1">
        <v>1</v>
      </c>
      <c r="B444" s="1">
        <v>443</v>
      </c>
      <c r="C444" s="1" t="s">
        <v>60</v>
      </c>
      <c r="D444">
        <v>0</v>
      </c>
      <c r="E444" s="6">
        <v>42960</v>
      </c>
      <c r="F444" s="1" t="s">
        <v>52</v>
      </c>
      <c r="G444" s="1">
        <v>0</v>
      </c>
      <c r="H444" s="1">
        <v>1</v>
      </c>
      <c r="I444" s="1">
        <v>2</v>
      </c>
      <c r="J444" s="1" t="s">
        <v>196</v>
      </c>
      <c r="K444" s="1">
        <v>17.3</v>
      </c>
      <c r="L444" s="1">
        <v>0</v>
      </c>
      <c r="M444" s="1">
        <v>1</v>
      </c>
      <c r="N444" s="1">
        <v>1</v>
      </c>
      <c r="O444" s="1">
        <v>0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1</v>
      </c>
      <c r="Z444" s="1">
        <v>2</v>
      </c>
      <c r="AA444">
        <v>0.7898400000000001</v>
      </c>
      <c r="AB444" s="1">
        <v>10.38</v>
      </c>
      <c r="AC444" s="1">
        <v>41</v>
      </c>
      <c r="AD444">
        <f t="shared" si="13"/>
        <v>25.317073170731707</v>
      </c>
      <c r="AG444" s="1">
        <v>37.299999999999997</v>
      </c>
      <c r="AK444" s="1">
        <v>65.400000000000006</v>
      </c>
      <c r="AL444" s="1">
        <v>42.4</v>
      </c>
      <c r="AM444" s="1">
        <v>24.1</v>
      </c>
      <c r="AQ444">
        <f>AL444/AM444</f>
        <v>1.759336099585062</v>
      </c>
      <c r="AR444" s="1">
        <v>1</v>
      </c>
      <c r="AS444" s="1">
        <v>1</v>
      </c>
      <c r="AT444" s="1">
        <v>0</v>
      </c>
      <c r="AU444" s="1">
        <v>0</v>
      </c>
      <c r="AV444" s="1">
        <v>0</v>
      </c>
      <c r="AW444" s="1">
        <v>1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2</v>
      </c>
      <c r="BE444" s="1">
        <v>0</v>
      </c>
      <c r="BF444" s="1">
        <v>1</v>
      </c>
      <c r="BG444" s="1">
        <v>31</v>
      </c>
      <c r="BH444" s="1">
        <v>93416.18</v>
      </c>
      <c r="BI444" s="1">
        <v>0</v>
      </c>
      <c r="BJ444" s="1">
        <v>0</v>
      </c>
    </row>
    <row r="445" spans="1:62" x14ac:dyDescent="0.3">
      <c r="A445" s="1">
        <v>1</v>
      </c>
      <c r="B445" s="1">
        <v>444</v>
      </c>
      <c r="C445" s="1" t="s">
        <v>60</v>
      </c>
      <c r="D445">
        <v>0</v>
      </c>
      <c r="E445" s="6">
        <v>43132</v>
      </c>
      <c r="F445" s="1" t="s">
        <v>85</v>
      </c>
      <c r="G445" s="1">
        <v>0</v>
      </c>
      <c r="H445" s="1">
        <v>1</v>
      </c>
      <c r="I445" s="1">
        <v>2</v>
      </c>
      <c r="J445" s="1" t="s">
        <v>191</v>
      </c>
      <c r="K445" s="1">
        <v>24.77</v>
      </c>
      <c r="L445" s="1">
        <v>0</v>
      </c>
      <c r="M445" s="1">
        <v>1</v>
      </c>
      <c r="N445" s="1">
        <v>0</v>
      </c>
      <c r="O445" s="1">
        <v>1</v>
      </c>
      <c r="P445" s="1">
        <v>0</v>
      </c>
      <c r="Q445" s="1">
        <v>1</v>
      </c>
      <c r="R445" s="1">
        <v>0</v>
      </c>
      <c r="S445" s="1">
        <v>0</v>
      </c>
      <c r="T445" s="1">
        <v>0</v>
      </c>
      <c r="U445" s="1">
        <v>1</v>
      </c>
      <c r="V445" s="1">
        <v>0</v>
      </c>
      <c r="W445" s="1">
        <v>0</v>
      </c>
      <c r="X445" s="1">
        <v>1</v>
      </c>
      <c r="Y445" s="1">
        <v>0</v>
      </c>
      <c r="Z445" s="1">
        <v>2</v>
      </c>
      <c r="AA445">
        <v>0.222</v>
      </c>
      <c r="AB445" s="1">
        <v>11.06</v>
      </c>
      <c r="AC445" s="1">
        <v>21</v>
      </c>
      <c r="AD445">
        <f t="shared" si="13"/>
        <v>52.666666666666664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3</v>
      </c>
      <c r="BE445" s="1">
        <v>1</v>
      </c>
      <c r="BF445" s="1">
        <v>0</v>
      </c>
      <c r="BG445" s="1">
        <v>36</v>
      </c>
      <c r="BH445" s="1">
        <v>73011.73</v>
      </c>
      <c r="BI445" s="1">
        <v>0</v>
      </c>
      <c r="BJ445" s="1">
        <v>1</v>
      </c>
    </row>
    <row r="446" spans="1:62" x14ac:dyDescent="0.3">
      <c r="A446">
        <v>1</v>
      </c>
      <c r="B446">
        <v>445</v>
      </c>
      <c r="C446" t="s">
        <v>122</v>
      </c>
      <c r="D446">
        <v>1</v>
      </c>
      <c r="E446" s="2">
        <v>43479</v>
      </c>
      <c r="F446" t="s">
        <v>123</v>
      </c>
      <c r="G446" s="1">
        <v>0</v>
      </c>
      <c r="H446">
        <v>1</v>
      </c>
      <c r="I446" s="1">
        <v>2</v>
      </c>
      <c r="J446" s="1" t="s">
        <v>193</v>
      </c>
      <c r="K446" s="1">
        <v>21.3</v>
      </c>
      <c r="L446" s="1">
        <v>2</v>
      </c>
      <c r="M446" s="1">
        <v>1</v>
      </c>
      <c r="N446" s="1">
        <v>1</v>
      </c>
      <c r="O446" s="1">
        <v>1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2</v>
      </c>
      <c r="AA446" s="1">
        <v>1.57</v>
      </c>
      <c r="AB446" s="1">
        <v>10.79</v>
      </c>
      <c r="AC446" s="1">
        <v>33</v>
      </c>
      <c r="AD446">
        <f t="shared" si="13"/>
        <v>32.696969696969695</v>
      </c>
      <c r="AE446" s="1">
        <v>5</v>
      </c>
      <c r="AF446" s="1">
        <v>505</v>
      </c>
      <c r="AG446" s="1">
        <v>47.9</v>
      </c>
      <c r="AH446" s="1">
        <v>12.4</v>
      </c>
      <c r="AI446" s="1">
        <v>55</v>
      </c>
      <c r="AJ446" s="1">
        <v>4.3</v>
      </c>
      <c r="AR446">
        <v>1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1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3</v>
      </c>
      <c r="BE446" s="1">
        <v>1</v>
      </c>
      <c r="BF446" s="1">
        <v>1</v>
      </c>
      <c r="BG446" s="1">
        <v>32</v>
      </c>
      <c r="BH446">
        <f>45661.91+124.26+18897+4286+420+11157+190+630+2211+7231+1961+725+2600.39</f>
        <v>96094.560000000012</v>
      </c>
      <c r="BI446" s="1">
        <v>0</v>
      </c>
      <c r="BJ446" s="1">
        <v>0</v>
      </c>
    </row>
    <row r="447" spans="1:62" x14ac:dyDescent="0.3">
      <c r="A447" s="1">
        <v>2</v>
      </c>
      <c r="B447" s="1">
        <v>446</v>
      </c>
      <c r="C447" s="1" t="s">
        <v>90</v>
      </c>
      <c r="D447">
        <v>0</v>
      </c>
      <c r="E447" s="6">
        <v>43028</v>
      </c>
      <c r="F447" s="1" t="s">
        <v>82</v>
      </c>
      <c r="G447" s="1">
        <v>1</v>
      </c>
      <c r="H447" s="1">
        <v>1</v>
      </c>
      <c r="I447" s="1">
        <v>2</v>
      </c>
      <c r="J447" s="1" t="s">
        <v>191</v>
      </c>
      <c r="K447" s="1">
        <v>18.52</v>
      </c>
      <c r="L447" s="1">
        <v>1</v>
      </c>
      <c r="M447" s="1">
        <v>1</v>
      </c>
      <c r="N447" s="1">
        <v>0</v>
      </c>
      <c r="O447" s="1">
        <v>1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1</v>
      </c>
      <c r="X447" s="1">
        <v>0</v>
      </c>
      <c r="Y447" s="1">
        <v>1</v>
      </c>
      <c r="Z447" s="1">
        <v>2</v>
      </c>
      <c r="AA447">
        <v>0.42111999999999994</v>
      </c>
      <c r="AK447" s="1">
        <v>82.2</v>
      </c>
      <c r="AL447" s="1">
        <v>50.2</v>
      </c>
      <c r="AM447" s="1">
        <v>19.8</v>
      </c>
      <c r="AN447" s="1">
        <v>247</v>
      </c>
      <c r="AO447" s="1">
        <v>151</v>
      </c>
      <c r="AP447" s="1">
        <v>59</v>
      </c>
      <c r="AQ447">
        <f>AL447/AM447</f>
        <v>2.5353535353535355</v>
      </c>
      <c r="AR447" s="1">
        <v>1</v>
      </c>
      <c r="AS447" s="1">
        <v>0</v>
      </c>
      <c r="AT447" s="1">
        <v>1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v>42</v>
      </c>
      <c r="BH447" s="1">
        <v>97537.36</v>
      </c>
      <c r="BI447" s="1">
        <v>0</v>
      </c>
      <c r="BJ447" s="1">
        <v>1</v>
      </c>
    </row>
    <row r="448" spans="1:62" x14ac:dyDescent="0.3">
      <c r="A448">
        <v>1</v>
      </c>
      <c r="B448">
        <v>447</v>
      </c>
      <c r="C448" t="s">
        <v>69</v>
      </c>
      <c r="D448">
        <v>0</v>
      </c>
      <c r="E448" s="2">
        <v>43494</v>
      </c>
      <c r="F448" t="s">
        <v>85</v>
      </c>
      <c r="G448" s="1">
        <v>0</v>
      </c>
      <c r="H448" s="1">
        <v>0</v>
      </c>
      <c r="I448" s="1">
        <v>2</v>
      </c>
      <c r="J448" s="1" t="s">
        <v>191</v>
      </c>
      <c r="K448">
        <v>23.71</v>
      </c>
      <c r="L448" s="1">
        <v>1</v>
      </c>
      <c r="M448" s="1">
        <v>1</v>
      </c>
      <c r="N448" s="1">
        <v>0</v>
      </c>
      <c r="O448" s="1">
        <v>1</v>
      </c>
      <c r="P448" s="1">
        <v>0</v>
      </c>
      <c r="Q448" s="1">
        <v>1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1</v>
      </c>
      <c r="Y448" s="1">
        <v>0</v>
      </c>
      <c r="Z448" s="1">
        <v>1</v>
      </c>
      <c r="AA448" s="1">
        <v>1.28</v>
      </c>
      <c r="AB448" s="1">
        <v>8.59</v>
      </c>
      <c r="AC448" s="1">
        <v>21</v>
      </c>
      <c r="AD448">
        <f>AB448*100/AC448</f>
        <v>40.904761904761905</v>
      </c>
      <c r="AK448">
        <v>77.5</v>
      </c>
      <c r="AL448">
        <v>45.3</v>
      </c>
      <c r="AM448">
        <v>21.5</v>
      </c>
      <c r="AN448">
        <v>1356</v>
      </c>
      <c r="AO448">
        <v>793</v>
      </c>
      <c r="AP448">
        <v>376</v>
      </c>
      <c r="AQ448">
        <f>AL448/AM448</f>
        <v>2.1069767441860465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2</v>
      </c>
      <c r="BE448" s="1">
        <v>0</v>
      </c>
      <c r="BF448" s="1">
        <v>0</v>
      </c>
      <c r="BG448" s="1">
        <v>19</v>
      </c>
      <c r="BH448">
        <f>12582.09+11560+1581+70+384+142+1102+816+950+2276.82</f>
        <v>31463.91</v>
      </c>
      <c r="BI448" s="1">
        <v>0</v>
      </c>
      <c r="BJ448" s="1">
        <v>1</v>
      </c>
    </row>
    <row r="449" spans="1:62" x14ac:dyDescent="0.3">
      <c r="A449">
        <v>1</v>
      </c>
      <c r="B449" s="1">
        <v>448</v>
      </c>
      <c r="C449" s="1" t="s">
        <v>60</v>
      </c>
      <c r="D449">
        <v>0</v>
      </c>
      <c r="E449" s="2">
        <v>43486</v>
      </c>
      <c r="F449" t="s">
        <v>128</v>
      </c>
      <c r="G449" s="1">
        <v>0</v>
      </c>
      <c r="H449" s="1">
        <v>0</v>
      </c>
      <c r="I449" s="1">
        <v>2</v>
      </c>
      <c r="J449" s="1" t="s">
        <v>194</v>
      </c>
      <c r="K449" s="1">
        <v>23.88</v>
      </c>
      <c r="L449" s="1">
        <v>0</v>
      </c>
      <c r="M449" s="1">
        <v>1</v>
      </c>
      <c r="N449" s="1">
        <v>1</v>
      </c>
      <c r="O449" s="1">
        <v>1</v>
      </c>
      <c r="P449" s="1">
        <v>1</v>
      </c>
      <c r="Q449" s="1">
        <v>1</v>
      </c>
      <c r="R449" s="1">
        <v>1</v>
      </c>
      <c r="S449" s="1">
        <v>0</v>
      </c>
      <c r="T449" s="1">
        <v>0</v>
      </c>
      <c r="U449" s="1">
        <v>1</v>
      </c>
      <c r="V449" s="1">
        <v>1</v>
      </c>
      <c r="W449" s="1">
        <v>0</v>
      </c>
      <c r="X449" s="1">
        <v>0</v>
      </c>
      <c r="Y449" s="1">
        <v>0</v>
      </c>
      <c r="Z449" s="1">
        <v>2</v>
      </c>
      <c r="AA449" s="1">
        <v>0.38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1</v>
      </c>
      <c r="BE449" s="1">
        <v>0</v>
      </c>
      <c r="BF449" s="1">
        <v>1</v>
      </c>
      <c r="BG449" s="1">
        <v>16</v>
      </c>
      <c r="BH449">
        <f>1306.4+2585+2410+900+92+1260+60+1217.14</f>
        <v>9830.5399999999991</v>
      </c>
      <c r="BI449" s="1">
        <v>0</v>
      </c>
      <c r="BJ449" s="1">
        <v>0</v>
      </c>
    </row>
    <row r="450" spans="1:62" x14ac:dyDescent="0.3">
      <c r="A450" s="1">
        <v>1</v>
      </c>
      <c r="B450" s="1">
        <v>449</v>
      </c>
      <c r="C450" s="1" t="s">
        <v>71</v>
      </c>
      <c r="D450">
        <v>0</v>
      </c>
      <c r="E450" s="6">
        <v>43125</v>
      </c>
      <c r="F450" s="1" t="s">
        <v>56</v>
      </c>
      <c r="G450" s="1">
        <v>0</v>
      </c>
      <c r="H450" s="1">
        <v>0</v>
      </c>
      <c r="I450" s="1">
        <v>2</v>
      </c>
      <c r="J450" s="1" t="s">
        <v>196</v>
      </c>
      <c r="K450" s="1">
        <v>20.03</v>
      </c>
      <c r="L450" s="1">
        <v>0</v>
      </c>
      <c r="M450" s="1">
        <v>1</v>
      </c>
      <c r="N450" s="1">
        <v>1</v>
      </c>
      <c r="O450" s="1">
        <v>0</v>
      </c>
      <c r="P450" s="1">
        <v>1</v>
      </c>
      <c r="Q450" s="1">
        <v>1</v>
      </c>
      <c r="R450" s="1">
        <v>0</v>
      </c>
      <c r="S450" s="1">
        <v>0</v>
      </c>
      <c r="T450" s="1">
        <v>1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2</v>
      </c>
      <c r="AA450">
        <v>2.2440000000000002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1</v>
      </c>
      <c r="BE450" s="1">
        <v>0</v>
      </c>
      <c r="BF450" s="1">
        <v>0</v>
      </c>
      <c r="BG450" s="1">
        <v>10</v>
      </c>
      <c r="BH450" s="1">
        <v>10516.47</v>
      </c>
      <c r="BI450" s="1">
        <v>1</v>
      </c>
      <c r="BJ450" s="1">
        <v>0</v>
      </c>
    </row>
    <row r="451" spans="1:62" x14ac:dyDescent="0.3">
      <c r="A451" s="1">
        <v>1</v>
      </c>
      <c r="B451">
        <v>450</v>
      </c>
      <c r="C451" s="1" t="s">
        <v>54</v>
      </c>
      <c r="D451">
        <v>0</v>
      </c>
      <c r="E451" s="6">
        <v>42565</v>
      </c>
      <c r="F451" s="1" t="s">
        <v>53</v>
      </c>
      <c r="G451" s="1">
        <v>0</v>
      </c>
      <c r="H451" s="1">
        <v>0</v>
      </c>
      <c r="I451" s="1">
        <v>2</v>
      </c>
      <c r="J451" s="1" t="s">
        <v>192</v>
      </c>
      <c r="K451" s="1">
        <v>20.82</v>
      </c>
      <c r="L451" s="1">
        <v>0</v>
      </c>
      <c r="M451" s="1">
        <v>1</v>
      </c>
      <c r="N451" s="1">
        <v>1</v>
      </c>
      <c r="O451" s="1">
        <v>0</v>
      </c>
      <c r="P451" s="1">
        <v>0</v>
      </c>
      <c r="Q451" s="1">
        <v>1</v>
      </c>
      <c r="R451" s="1">
        <v>0</v>
      </c>
      <c r="S451" s="1">
        <v>1</v>
      </c>
      <c r="T451" s="1">
        <v>0</v>
      </c>
      <c r="U451" s="1">
        <v>0</v>
      </c>
      <c r="V451" s="1">
        <v>0</v>
      </c>
      <c r="W451" s="1">
        <v>1</v>
      </c>
      <c r="X451" s="1">
        <v>0</v>
      </c>
      <c r="Y451" s="1">
        <v>0</v>
      </c>
      <c r="Z451" s="1">
        <v>2</v>
      </c>
      <c r="AA451">
        <v>1.5200499999999999</v>
      </c>
      <c r="AB451" s="1">
        <v>8.8800000000000008</v>
      </c>
      <c r="AC451" s="1">
        <v>21</v>
      </c>
      <c r="AD451">
        <f>AB451*100/AC451</f>
        <v>42.285714285714292</v>
      </c>
      <c r="AE451" s="1">
        <v>5</v>
      </c>
      <c r="AF451" s="1">
        <v>365</v>
      </c>
      <c r="AG451" s="1">
        <v>11.3</v>
      </c>
      <c r="AH451" s="1">
        <v>130</v>
      </c>
      <c r="AI451" s="1">
        <v>5</v>
      </c>
      <c r="AK451" s="1">
        <v>81.900000000000006</v>
      </c>
      <c r="AL451" s="1">
        <v>55.4</v>
      </c>
      <c r="AM451" s="1">
        <v>31.7</v>
      </c>
      <c r="AQ451">
        <f>AL451/AM451</f>
        <v>1.7476340694006309</v>
      </c>
      <c r="AR451" s="1">
        <v>1</v>
      </c>
      <c r="AS451" s="1">
        <v>1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1</v>
      </c>
      <c r="BE451" s="1">
        <v>0</v>
      </c>
      <c r="BF451" s="1">
        <v>0</v>
      </c>
      <c r="BG451" s="1">
        <v>7</v>
      </c>
      <c r="BH451" s="1">
        <v>10610.01</v>
      </c>
      <c r="BI451" s="1">
        <v>0</v>
      </c>
      <c r="BJ451" s="1">
        <v>0</v>
      </c>
    </row>
    <row r="452" spans="1:62" x14ac:dyDescent="0.3">
      <c r="A452" s="1">
        <v>1</v>
      </c>
      <c r="B452" s="1">
        <v>451</v>
      </c>
      <c r="C452" s="1" t="s">
        <v>62</v>
      </c>
      <c r="D452">
        <v>0</v>
      </c>
      <c r="E452" s="6">
        <v>43168</v>
      </c>
      <c r="F452" s="1" t="s">
        <v>56</v>
      </c>
      <c r="G452" s="1">
        <v>0</v>
      </c>
      <c r="H452" s="1">
        <v>0</v>
      </c>
      <c r="I452" s="1">
        <v>2</v>
      </c>
      <c r="J452" s="1" t="s">
        <v>192</v>
      </c>
      <c r="K452" s="1">
        <v>18.27</v>
      </c>
      <c r="L452" s="1">
        <v>2</v>
      </c>
      <c r="M452" s="1">
        <v>1</v>
      </c>
      <c r="N452" s="1">
        <v>1</v>
      </c>
      <c r="O452" s="1">
        <v>0</v>
      </c>
      <c r="P452" s="1">
        <v>1</v>
      </c>
      <c r="Q452" s="1">
        <v>1</v>
      </c>
      <c r="R452" s="1">
        <v>0</v>
      </c>
      <c r="S452" s="1">
        <v>0</v>
      </c>
      <c r="T452" s="1">
        <v>1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2</v>
      </c>
      <c r="AA452">
        <v>1.57942</v>
      </c>
      <c r="AB452" s="1">
        <v>7.77</v>
      </c>
      <c r="AC452" s="1">
        <v>21</v>
      </c>
      <c r="AD452">
        <f>AB452*100/AC452</f>
        <v>37</v>
      </c>
      <c r="AK452" s="1">
        <v>73</v>
      </c>
      <c r="AL452" s="1">
        <v>38.700000000000003</v>
      </c>
      <c r="AM452" s="1">
        <v>33</v>
      </c>
      <c r="AN452" s="1">
        <v>1153</v>
      </c>
      <c r="AO452" s="1">
        <v>611</v>
      </c>
      <c r="AP452" s="1">
        <v>521</v>
      </c>
      <c r="AQ452">
        <f>AL452/AM452</f>
        <v>1.1727272727272728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1</v>
      </c>
      <c r="BE452" s="1">
        <v>0</v>
      </c>
      <c r="BF452" s="1">
        <v>0</v>
      </c>
      <c r="BG452" s="1">
        <v>12</v>
      </c>
      <c r="BH452" s="1">
        <v>15496.73</v>
      </c>
      <c r="BI452" s="1">
        <v>0</v>
      </c>
      <c r="BJ452" s="1">
        <v>0</v>
      </c>
    </row>
    <row r="453" spans="1:62" x14ac:dyDescent="0.3">
      <c r="A453" s="1">
        <v>1</v>
      </c>
      <c r="B453">
        <v>452</v>
      </c>
      <c r="C453" s="1" t="s">
        <v>74</v>
      </c>
      <c r="D453">
        <v>0</v>
      </c>
      <c r="E453" s="6">
        <v>42969</v>
      </c>
      <c r="F453" s="1" t="s">
        <v>121</v>
      </c>
      <c r="G453" s="1">
        <v>0</v>
      </c>
      <c r="H453" s="1">
        <v>0</v>
      </c>
      <c r="I453" s="1">
        <v>2</v>
      </c>
      <c r="J453" s="1" t="s">
        <v>197</v>
      </c>
      <c r="K453" s="1">
        <v>27.55</v>
      </c>
      <c r="L453" s="1">
        <v>0</v>
      </c>
      <c r="M453" s="1">
        <v>1</v>
      </c>
      <c r="N453" s="1">
        <v>1</v>
      </c>
      <c r="O453" s="1">
        <v>0</v>
      </c>
      <c r="P453" s="1">
        <v>1</v>
      </c>
      <c r="Q453" s="1">
        <v>1</v>
      </c>
      <c r="R453" s="1">
        <v>1</v>
      </c>
      <c r="S453" s="1">
        <v>0</v>
      </c>
      <c r="T453" s="1">
        <v>0</v>
      </c>
      <c r="U453" s="1">
        <v>0</v>
      </c>
      <c r="V453" s="1">
        <v>1</v>
      </c>
      <c r="W453" s="1">
        <v>0</v>
      </c>
      <c r="X453" s="1">
        <v>0</v>
      </c>
      <c r="Y453" s="1">
        <v>0</v>
      </c>
      <c r="Z453" s="1">
        <v>2</v>
      </c>
      <c r="AA453">
        <v>0.70104</v>
      </c>
      <c r="AB453" s="1">
        <v>10.41</v>
      </c>
      <c r="AC453" s="1">
        <v>33</v>
      </c>
      <c r="AD453">
        <f>AB453*100/AC453</f>
        <v>31.545454545454547</v>
      </c>
      <c r="AK453">
        <v>72.3</v>
      </c>
      <c r="AL453">
        <v>41.4</v>
      </c>
      <c r="AM453">
        <v>30.5</v>
      </c>
      <c r="AQ453">
        <f>AL453/AM453</f>
        <v>1.3573770491803279</v>
      </c>
      <c r="AR453">
        <v>1</v>
      </c>
      <c r="AS453">
        <v>1</v>
      </c>
      <c r="AT453">
        <v>0</v>
      </c>
      <c r="AU453">
        <v>1</v>
      </c>
      <c r="AV453">
        <v>0</v>
      </c>
      <c r="AW453">
        <v>1</v>
      </c>
      <c r="AX453">
        <v>1</v>
      </c>
      <c r="AY453">
        <v>0</v>
      </c>
      <c r="AZ453">
        <v>0</v>
      </c>
      <c r="BA453">
        <v>0</v>
      </c>
      <c r="BB453">
        <v>0</v>
      </c>
      <c r="BC453">
        <v>0</v>
      </c>
      <c r="BD453" s="1">
        <v>2</v>
      </c>
      <c r="BE453" s="1">
        <v>0</v>
      </c>
      <c r="BF453" s="1">
        <v>0</v>
      </c>
      <c r="BG453" s="1">
        <v>11</v>
      </c>
      <c r="BH453" s="1">
        <v>7350.36</v>
      </c>
      <c r="BI453" s="1">
        <v>0</v>
      </c>
      <c r="BJ453" s="1">
        <v>0</v>
      </c>
    </row>
    <row r="454" spans="1:62" x14ac:dyDescent="0.3">
      <c r="A454">
        <v>1</v>
      </c>
      <c r="B454" s="1">
        <v>453</v>
      </c>
      <c r="C454" t="s">
        <v>54</v>
      </c>
      <c r="D454">
        <v>0</v>
      </c>
      <c r="E454" s="2">
        <v>43488</v>
      </c>
      <c r="F454" t="s">
        <v>61</v>
      </c>
      <c r="G454" s="1">
        <v>1</v>
      </c>
      <c r="H454" s="1">
        <v>1</v>
      </c>
      <c r="I454" s="1">
        <v>2</v>
      </c>
      <c r="J454" s="1" t="s">
        <v>193</v>
      </c>
      <c r="K454" s="1">
        <v>21.48</v>
      </c>
      <c r="L454" s="1">
        <v>0</v>
      </c>
      <c r="M454" s="1">
        <v>1</v>
      </c>
      <c r="N454" s="1">
        <v>0</v>
      </c>
      <c r="O454" s="1">
        <v>0</v>
      </c>
      <c r="P454" s="1">
        <v>1</v>
      </c>
      <c r="Q454" s="1">
        <v>0</v>
      </c>
      <c r="R454" s="1">
        <v>0</v>
      </c>
      <c r="S454" s="1">
        <v>0</v>
      </c>
      <c r="T454" s="1">
        <v>0</v>
      </c>
      <c r="U454" s="1">
        <v>1</v>
      </c>
      <c r="V454" s="1">
        <v>0</v>
      </c>
      <c r="W454" s="1">
        <v>0</v>
      </c>
      <c r="X454" s="1">
        <v>0</v>
      </c>
      <c r="Y454" s="1">
        <v>0</v>
      </c>
      <c r="Z454" s="1">
        <v>2</v>
      </c>
      <c r="AA454" s="1">
        <v>0.49</v>
      </c>
      <c r="AB454" s="1">
        <v>11.63</v>
      </c>
      <c r="AC454" s="1">
        <v>60</v>
      </c>
      <c r="AD454">
        <f>AB454*100/AC454</f>
        <v>19.383333333333333</v>
      </c>
      <c r="AR454">
        <v>1</v>
      </c>
      <c r="AS454">
        <v>0</v>
      </c>
      <c r="AT454">
        <v>1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1</v>
      </c>
      <c r="BC454">
        <v>0</v>
      </c>
      <c r="BD454">
        <v>2</v>
      </c>
      <c r="BE454" s="1">
        <v>2</v>
      </c>
      <c r="BF454" s="1">
        <v>1</v>
      </c>
      <c r="BG454" s="1">
        <v>18</v>
      </c>
      <c r="BH454">
        <f>36170.28+1953.59+35.28+29130+2887+560+9254+460+5800+1728+17.5+6480+2100+3726.09</f>
        <v>100301.73999999999</v>
      </c>
      <c r="BI454" s="1">
        <v>0</v>
      </c>
      <c r="BJ454" s="1">
        <v>1</v>
      </c>
    </row>
    <row r="455" spans="1:62" x14ac:dyDescent="0.3">
      <c r="A455">
        <v>2</v>
      </c>
      <c r="B455" s="1">
        <v>454</v>
      </c>
      <c r="C455" t="s">
        <v>149</v>
      </c>
      <c r="D455">
        <v>1</v>
      </c>
      <c r="E455" s="2" t="s">
        <v>150</v>
      </c>
      <c r="F455" s="4" t="s">
        <v>85</v>
      </c>
      <c r="G455" s="1">
        <v>0</v>
      </c>
      <c r="H455" s="1">
        <v>1</v>
      </c>
      <c r="I455" s="1">
        <v>2</v>
      </c>
      <c r="J455" s="1" t="s">
        <v>195</v>
      </c>
      <c r="K455" s="1">
        <v>27.39</v>
      </c>
      <c r="L455" s="1">
        <v>0</v>
      </c>
      <c r="M455" s="1">
        <v>1</v>
      </c>
      <c r="N455" s="1">
        <v>0</v>
      </c>
      <c r="O455" s="1">
        <v>1</v>
      </c>
      <c r="P455" s="1">
        <v>0</v>
      </c>
      <c r="Q455" s="1">
        <v>0</v>
      </c>
      <c r="R455" s="1">
        <v>0</v>
      </c>
      <c r="S455" s="1">
        <v>1</v>
      </c>
      <c r="T455" s="1">
        <v>0</v>
      </c>
      <c r="U455" s="1">
        <v>1</v>
      </c>
      <c r="V455" s="1">
        <v>0</v>
      </c>
      <c r="W455" s="1">
        <v>0</v>
      </c>
      <c r="X455" s="1">
        <v>1</v>
      </c>
      <c r="Y455" s="1">
        <v>0</v>
      </c>
      <c r="Z455" s="1">
        <v>2</v>
      </c>
      <c r="AA455" s="1">
        <v>1.0900000000000001</v>
      </c>
      <c r="AB455" s="1">
        <v>10.25</v>
      </c>
      <c r="AC455" s="1">
        <v>21</v>
      </c>
      <c r="AD455">
        <f>AB455*100/AC455</f>
        <v>48.80952380952381</v>
      </c>
      <c r="AK455">
        <v>55.8</v>
      </c>
      <c r="AL455">
        <v>25.3</v>
      </c>
      <c r="AM455">
        <v>28.6</v>
      </c>
      <c r="AN455">
        <v>502</v>
      </c>
      <c r="AO455">
        <v>210</v>
      </c>
      <c r="AP455">
        <v>257</v>
      </c>
      <c r="AQ455">
        <f>AL455/AM455</f>
        <v>0.88461538461538458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2</v>
      </c>
      <c r="BE455" s="1">
        <v>0</v>
      </c>
      <c r="BF455" s="1">
        <v>0</v>
      </c>
      <c r="BG455" s="1">
        <v>34</v>
      </c>
      <c r="BH455">
        <f>41740.65+13.82+18439+7063+140+5871+14+796+2001+2436+1725+20553.69</f>
        <v>100793.16</v>
      </c>
      <c r="BI455" s="1">
        <v>1</v>
      </c>
      <c r="BJ455" s="1">
        <v>1</v>
      </c>
    </row>
    <row r="456" spans="1:62" x14ac:dyDescent="0.3">
      <c r="A456">
        <v>1</v>
      </c>
      <c r="B456">
        <v>455</v>
      </c>
      <c r="C456" s="1" t="s">
        <v>60</v>
      </c>
      <c r="D456">
        <v>0</v>
      </c>
      <c r="E456" s="2">
        <v>43495</v>
      </c>
      <c r="F456" t="s">
        <v>53</v>
      </c>
      <c r="G456" s="1">
        <v>0</v>
      </c>
      <c r="H456" s="1">
        <v>0</v>
      </c>
      <c r="I456" s="1">
        <v>2</v>
      </c>
      <c r="J456" s="1" t="s">
        <v>193</v>
      </c>
      <c r="K456" s="1">
        <v>27.99</v>
      </c>
      <c r="L456" s="1">
        <v>1</v>
      </c>
      <c r="M456" s="1">
        <v>1</v>
      </c>
      <c r="N456" s="1">
        <v>1</v>
      </c>
      <c r="O456" s="1">
        <v>0</v>
      </c>
      <c r="P456" s="1">
        <v>1</v>
      </c>
      <c r="Q456" s="1">
        <v>1</v>
      </c>
      <c r="R456" s="1">
        <v>0</v>
      </c>
      <c r="S456" s="1">
        <v>1</v>
      </c>
      <c r="T456" s="1">
        <v>1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2</v>
      </c>
      <c r="AA456" s="1">
        <v>0.87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2</v>
      </c>
      <c r="BE456" s="1">
        <v>0</v>
      </c>
      <c r="BF456" s="1">
        <v>0</v>
      </c>
      <c r="BG456" s="1">
        <v>5</v>
      </c>
      <c r="BH456">
        <f>2723.26+28.95+4422+508+96+192+261+209+225</f>
        <v>8665.2099999999991</v>
      </c>
      <c r="BI456" s="1">
        <v>0</v>
      </c>
      <c r="BJ456" s="1">
        <v>0</v>
      </c>
    </row>
    <row r="457" spans="1:62" x14ac:dyDescent="0.3">
      <c r="A457" s="1">
        <v>1</v>
      </c>
      <c r="B457" s="1">
        <v>456</v>
      </c>
      <c r="C457" s="1" t="s">
        <v>60</v>
      </c>
      <c r="D457">
        <v>0</v>
      </c>
      <c r="E457" s="6">
        <v>43005</v>
      </c>
      <c r="F457" s="1" t="s">
        <v>52</v>
      </c>
      <c r="G457" s="1">
        <v>1</v>
      </c>
      <c r="H457" s="1">
        <v>1</v>
      </c>
      <c r="I457" s="1">
        <v>3</v>
      </c>
      <c r="J457" s="1" t="s">
        <v>193</v>
      </c>
      <c r="K457" s="1">
        <v>17.579999999999998</v>
      </c>
      <c r="L457" s="1">
        <v>0</v>
      </c>
      <c r="M457" s="1">
        <v>1</v>
      </c>
      <c r="N457" s="1">
        <v>1</v>
      </c>
      <c r="O457" s="1">
        <v>1</v>
      </c>
      <c r="P457" s="1">
        <v>0</v>
      </c>
      <c r="Q457" s="1">
        <v>0</v>
      </c>
      <c r="R457" s="1">
        <v>0</v>
      </c>
      <c r="S457" s="1">
        <v>0</v>
      </c>
      <c r="T457" s="1">
        <v>1</v>
      </c>
      <c r="U457" s="1">
        <v>1</v>
      </c>
      <c r="V457" s="1">
        <v>0</v>
      </c>
      <c r="W457" s="1">
        <v>0</v>
      </c>
      <c r="X457" s="1">
        <v>0</v>
      </c>
      <c r="Y457" s="1">
        <v>0</v>
      </c>
      <c r="Z457" s="1">
        <v>2</v>
      </c>
      <c r="AA457">
        <v>2.2929600000000003</v>
      </c>
      <c r="AB457" s="1">
        <v>15.57</v>
      </c>
      <c r="AC457" s="1">
        <v>90</v>
      </c>
      <c r="AD457">
        <f>AB457*100/AC457</f>
        <v>17.3</v>
      </c>
      <c r="AE457" s="1">
        <v>5</v>
      </c>
      <c r="AF457" s="1">
        <v>707</v>
      </c>
      <c r="AG457" s="1">
        <v>226</v>
      </c>
      <c r="AH457" s="1">
        <v>138</v>
      </c>
      <c r="AI457" s="1">
        <v>21</v>
      </c>
      <c r="AN457" s="1">
        <v>898</v>
      </c>
      <c r="AO457" s="1">
        <v>227</v>
      </c>
      <c r="AP457" s="1">
        <v>463</v>
      </c>
      <c r="AR457" s="1">
        <v>1</v>
      </c>
      <c r="AS457" s="1">
        <v>0</v>
      </c>
      <c r="AT457" s="1">
        <v>1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3</v>
      </c>
      <c r="BE457" s="1">
        <v>2</v>
      </c>
      <c r="BF457" s="1">
        <v>1</v>
      </c>
      <c r="BG457" s="1">
        <v>20</v>
      </c>
      <c r="BH457" s="1">
        <v>103631.12</v>
      </c>
      <c r="BI457" s="1">
        <v>0</v>
      </c>
      <c r="BJ457" s="1">
        <v>1</v>
      </c>
    </row>
    <row r="458" spans="1:62" x14ac:dyDescent="0.3">
      <c r="A458" s="1">
        <v>1</v>
      </c>
      <c r="B458">
        <v>457</v>
      </c>
      <c r="C458" s="1" t="s">
        <v>54</v>
      </c>
      <c r="D458">
        <v>0</v>
      </c>
      <c r="E458" s="6">
        <v>42842</v>
      </c>
      <c r="F458" s="1" t="s">
        <v>52</v>
      </c>
      <c r="G458" s="1">
        <v>1</v>
      </c>
      <c r="H458" s="1">
        <v>1</v>
      </c>
      <c r="I458" s="1">
        <v>3</v>
      </c>
      <c r="J458" s="1" t="s">
        <v>184</v>
      </c>
      <c r="K458" s="1">
        <v>21.83</v>
      </c>
      <c r="L458" s="1">
        <v>0</v>
      </c>
      <c r="M458" s="1">
        <v>1</v>
      </c>
      <c r="N458" s="1">
        <v>1</v>
      </c>
      <c r="O458" s="1">
        <v>1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1</v>
      </c>
      <c r="Z458" s="1">
        <v>2</v>
      </c>
      <c r="AA458">
        <v>0.16995000000000002</v>
      </c>
      <c r="AB458" s="1">
        <v>10.18</v>
      </c>
      <c r="AC458" s="1">
        <v>41</v>
      </c>
      <c r="AD458">
        <f>AB458*100/AC458</f>
        <v>24.829268292682926</v>
      </c>
      <c r="AE458" s="1">
        <v>5</v>
      </c>
      <c r="AF458" s="1">
        <v>1308</v>
      </c>
      <c r="AG458" s="1">
        <v>228</v>
      </c>
      <c r="AH458" s="1">
        <v>43.6</v>
      </c>
      <c r="AI458" s="1">
        <v>7.15</v>
      </c>
      <c r="AJ458" s="1">
        <v>4</v>
      </c>
      <c r="AK458" s="1">
        <v>49.4</v>
      </c>
      <c r="AL458" s="1">
        <v>12.2</v>
      </c>
      <c r="AM458" s="1">
        <v>29.2</v>
      </c>
      <c r="AN458" s="1">
        <v>79</v>
      </c>
      <c r="AO458" s="1">
        <v>20</v>
      </c>
      <c r="AP458" s="1">
        <v>47</v>
      </c>
      <c r="AQ458">
        <f>AL458/AM458</f>
        <v>0.4178082191780822</v>
      </c>
      <c r="AR458" s="1">
        <v>1</v>
      </c>
      <c r="AS458" s="1">
        <v>1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</v>
      </c>
      <c r="BC458" s="1">
        <v>0</v>
      </c>
      <c r="BD458" s="1">
        <v>1</v>
      </c>
      <c r="BE458" s="1">
        <v>1</v>
      </c>
      <c r="BF458" s="1">
        <v>1</v>
      </c>
      <c r="BG458" s="1">
        <v>18</v>
      </c>
      <c r="BH458" s="1">
        <v>108987.25</v>
      </c>
      <c r="BI458" s="1">
        <v>1</v>
      </c>
      <c r="BJ458" s="1">
        <v>1</v>
      </c>
    </row>
    <row r="459" spans="1:62" x14ac:dyDescent="0.3">
      <c r="A459" s="1">
        <v>1</v>
      </c>
      <c r="B459" s="1">
        <v>458</v>
      </c>
      <c r="C459" s="1" t="s">
        <v>51</v>
      </c>
      <c r="D459">
        <v>0</v>
      </c>
      <c r="E459" s="6">
        <v>42857</v>
      </c>
      <c r="F459" s="1" t="s">
        <v>52</v>
      </c>
      <c r="G459" s="1">
        <v>0</v>
      </c>
      <c r="H459" s="1">
        <v>1</v>
      </c>
      <c r="I459" s="1">
        <v>2</v>
      </c>
      <c r="J459" s="1" t="s">
        <v>191</v>
      </c>
      <c r="K459" s="1">
        <v>20.45</v>
      </c>
      <c r="L459" s="1">
        <v>0</v>
      </c>
      <c r="M459" s="1">
        <v>1</v>
      </c>
      <c r="N459" s="1">
        <v>1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2</v>
      </c>
      <c r="AA459">
        <v>1.5431799999999998</v>
      </c>
      <c r="AB459" s="1">
        <v>9.94</v>
      </c>
      <c r="AC459" s="1">
        <v>100</v>
      </c>
      <c r="AD459">
        <f>AB459*100/AC459</f>
        <v>9.94</v>
      </c>
      <c r="AE459" s="1">
        <v>5</v>
      </c>
      <c r="AF459" s="1">
        <v>562</v>
      </c>
      <c r="AG459" s="1">
        <v>4.67</v>
      </c>
      <c r="AH459" s="1">
        <v>64.5</v>
      </c>
      <c r="AI459" s="1">
        <v>5</v>
      </c>
      <c r="AJ459" s="1">
        <v>6.6</v>
      </c>
      <c r="AK459" s="1">
        <v>65.7</v>
      </c>
      <c r="AL459" s="1">
        <v>25.1</v>
      </c>
      <c r="AM459" s="1">
        <v>39.799999999999997</v>
      </c>
      <c r="AN459" s="1">
        <v>1012</v>
      </c>
      <c r="AO459" s="1">
        <v>387</v>
      </c>
      <c r="AP459" s="1">
        <v>613</v>
      </c>
      <c r="AQ459">
        <f>AL459/AM459</f>
        <v>0.63065326633165841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2</v>
      </c>
      <c r="BE459" s="1">
        <v>0</v>
      </c>
      <c r="BF459" s="1">
        <v>1</v>
      </c>
      <c r="BG459" s="1">
        <v>34</v>
      </c>
      <c r="BH459" s="1">
        <v>109916.83</v>
      </c>
      <c r="BI459" s="1">
        <v>0</v>
      </c>
      <c r="BJ459" s="1">
        <v>0</v>
      </c>
    </row>
    <row r="460" spans="1:62" x14ac:dyDescent="0.3">
      <c r="A460" s="1">
        <v>1</v>
      </c>
      <c r="B460" s="1">
        <v>459</v>
      </c>
      <c r="C460" s="1" t="s">
        <v>87</v>
      </c>
      <c r="D460">
        <v>0</v>
      </c>
      <c r="E460" s="6">
        <v>43142</v>
      </c>
      <c r="F460" s="1" t="s">
        <v>61</v>
      </c>
      <c r="G460" s="1">
        <v>0</v>
      </c>
      <c r="H460" s="1">
        <v>1</v>
      </c>
      <c r="I460" s="1">
        <v>2</v>
      </c>
      <c r="J460" s="1" t="s">
        <v>191</v>
      </c>
      <c r="K460" s="1">
        <v>23.15</v>
      </c>
      <c r="L460" s="1">
        <v>0</v>
      </c>
      <c r="M460" s="1">
        <v>1</v>
      </c>
      <c r="N460" s="1">
        <v>1</v>
      </c>
      <c r="O460" s="1">
        <v>1</v>
      </c>
      <c r="P460" s="1">
        <v>0</v>
      </c>
      <c r="Q460" s="1">
        <v>1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1</v>
      </c>
      <c r="Z460" s="1">
        <v>2</v>
      </c>
      <c r="AA460">
        <v>0.72792000000000001</v>
      </c>
      <c r="AB460" s="1">
        <v>23.87</v>
      </c>
      <c r="AC460" s="1">
        <v>61</v>
      </c>
      <c r="AD460">
        <f>AB460*100/AC460</f>
        <v>39.131147540983605</v>
      </c>
      <c r="AK460" s="1">
        <v>50.3</v>
      </c>
      <c r="AL460" s="1">
        <v>30.2</v>
      </c>
      <c r="AM460" s="1">
        <v>17.8</v>
      </c>
      <c r="AN460" s="1">
        <v>473</v>
      </c>
      <c r="AO460" s="1">
        <v>284</v>
      </c>
      <c r="AP460" s="1">
        <v>167</v>
      </c>
      <c r="AQ460">
        <f>AL460/AM460</f>
        <v>1.696629213483146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2</v>
      </c>
      <c r="BE460" s="1">
        <v>1</v>
      </c>
      <c r="BF460" s="1">
        <v>1</v>
      </c>
      <c r="BG460" s="1">
        <v>23</v>
      </c>
      <c r="BH460" s="1">
        <v>65544.69</v>
      </c>
      <c r="BI460" s="1">
        <v>0</v>
      </c>
      <c r="BJ460" s="1">
        <v>0</v>
      </c>
    </row>
    <row r="461" spans="1:62" x14ac:dyDescent="0.3">
      <c r="A461" s="1">
        <v>2</v>
      </c>
      <c r="B461">
        <v>460</v>
      </c>
      <c r="C461" s="1" t="s">
        <v>60</v>
      </c>
      <c r="D461">
        <v>0</v>
      </c>
      <c r="E461" s="6">
        <v>43074</v>
      </c>
      <c r="F461" s="1" t="s">
        <v>95</v>
      </c>
      <c r="G461" s="1">
        <v>0</v>
      </c>
      <c r="H461" s="1">
        <v>0</v>
      </c>
      <c r="I461" s="1">
        <v>1</v>
      </c>
      <c r="J461" s="1" t="s">
        <v>195</v>
      </c>
      <c r="K461" s="1">
        <v>23.83</v>
      </c>
      <c r="L461" s="1">
        <v>0</v>
      </c>
      <c r="M461" s="1">
        <v>0</v>
      </c>
      <c r="N461" s="1">
        <v>1</v>
      </c>
      <c r="O461" s="1">
        <v>0</v>
      </c>
      <c r="P461" s="1">
        <v>0</v>
      </c>
      <c r="Q461" s="1">
        <v>0</v>
      </c>
      <c r="R461" s="1">
        <v>1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1</v>
      </c>
      <c r="Z461" s="1">
        <v>2</v>
      </c>
      <c r="AA461">
        <v>0.32880000000000004</v>
      </c>
      <c r="AE461" s="1">
        <v>5</v>
      </c>
      <c r="AF461" s="1">
        <v>1451</v>
      </c>
      <c r="AG461" s="1">
        <v>9.5</v>
      </c>
      <c r="AH461" s="1">
        <v>34.299999999999997</v>
      </c>
      <c r="AI461" s="1">
        <v>5</v>
      </c>
      <c r="AN461" s="1">
        <v>306</v>
      </c>
      <c r="AO461" s="1">
        <v>180</v>
      </c>
      <c r="AP461" s="1">
        <v>99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2</v>
      </c>
      <c r="BE461" s="1">
        <v>0</v>
      </c>
      <c r="BF461" s="1">
        <v>0</v>
      </c>
      <c r="BG461" s="1">
        <v>32</v>
      </c>
      <c r="BH461" s="1">
        <v>111678.48</v>
      </c>
      <c r="BI461" s="1">
        <v>0</v>
      </c>
      <c r="BJ461" s="1">
        <v>0</v>
      </c>
    </row>
    <row r="462" spans="1:62" x14ac:dyDescent="0.3">
      <c r="A462">
        <v>2</v>
      </c>
      <c r="B462" s="1">
        <v>461</v>
      </c>
      <c r="C462" t="s">
        <v>69</v>
      </c>
      <c r="D462">
        <v>0</v>
      </c>
      <c r="E462" s="2">
        <v>43514</v>
      </c>
      <c r="F462" t="s">
        <v>132</v>
      </c>
      <c r="G462" s="1">
        <v>0</v>
      </c>
      <c r="H462" s="1">
        <v>1</v>
      </c>
      <c r="I462" s="1">
        <v>1</v>
      </c>
      <c r="J462" s="1" t="s">
        <v>190</v>
      </c>
      <c r="K462" s="1">
        <v>19.38</v>
      </c>
      <c r="L462" s="1">
        <v>0</v>
      </c>
      <c r="M462" s="1">
        <v>1</v>
      </c>
      <c r="N462" s="1">
        <v>1</v>
      </c>
      <c r="O462" s="1">
        <v>1</v>
      </c>
      <c r="P462" s="1">
        <v>1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1</v>
      </c>
      <c r="Z462" s="1">
        <v>2</v>
      </c>
      <c r="AA462" s="1">
        <v>0.6</v>
      </c>
      <c r="AR462">
        <v>1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 s="1">
        <v>0</v>
      </c>
      <c r="BF462" s="1">
        <v>0</v>
      </c>
      <c r="BG462" s="1">
        <v>28</v>
      </c>
      <c r="BH462">
        <f>81908.62+257.2+21588+1268+70+895+1420+96+1624+1456+1400+747.01</f>
        <v>112729.82999999999</v>
      </c>
      <c r="BI462" s="1">
        <v>1</v>
      </c>
      <c r="BJ462" s="1">
        <v>0</v>
      </c>
    </row>
    <row r="463" spans="1:62" x14ac:dyDescent="0.3">
      <c r="A463">
        <v>1</v>
      </c>
      <c r="B463">
        <v>462</v>
      </c>
      <c r="C463" t="s">
        <v>73</v>
      </c>
      <c r="D463">
        <v>0</v>
      </c>
      <c r="E463" s="2" t="s">
        <v>158</v>
      </c>
      <c r="F463" s="4" t="s">
        <v>70</v>
      </c>
      <c r="G463" s="1">
        <v>0</v>
      </c>
      <c r="H463" s="1">
        <v>1</v>
      </c>
      <c r="I463" s="1">
        <v>2</v>
      </c>
      <c r="J463" s="1" t="s">
        <v>193</v>
      </c>
      <c r="K463" s="1">
        <v>24.3</v>
      </c>
      <c r="L463" s="1">
        <v>0</v>
      </c>
      <c r="M463" s="1">
        <v>0</v>
      </c>
      <c r="N463" s="1">
        <v>0</v>
      </c>
      <c r="O463" s="1">
        <v>1</v>
      </c>
      <c r="P463" s="1">
        <v>1</v>
      </c>
      <c r="Q463" s="1">
        <v>0</v>
      </c>
      <c r="R463" s="1">
        <v>0</v>
      </c>
      <c r="S463" s="1">
        <v>0</v>
      </c>
      <c r="T463" s="1">
        <v>1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2</v>
      </c>
      <c r="AA463" s="1">
        <v>0.51</v>
      </c>
      <c r="AB463">
        <f>87.8/7.5</f>
        <v>11.706666666666667</v>
      </c>
      <c r="AC463" s="1">
        <v>40</v>
      </c>
      <c r="AD463">
        <f t="shared" ref="AD463:AD468" si="15">AB463*100/AC463</f>
        <v>29.266666666666669</v>
      </c>
      <c r="AE463" s="1">
        <v>12.8</v>
      </c>
      <c r="AF463">
        <v>792</v>
      </c>
      <c r="AG463" s="1">
        <v>66.5</v>
      </c>
      <c r="AH463">
        <v>14.4</v>
      </c>
      <c r="AI463" s="1">
        <v>18</v>
      </c>
      <c r="AJ463">
        <v>2.76</v>
      </c>
      <c r="AK463" s="1">
        <v>65.8</v>
      </c>
      <c r="AL463">
        <v>54.2</v>
      </c>
      <c r="AM463" s="1">
        <v>11.5</v>
      </c>
      <c r="AN463">
        <v>428</v>
      </c>
      <c r="AO463" s="1">
        <v>352</v>
      </c>
      <c r="AP463">
        <v>75</v>
      </c>
      <c r="AQ463">
        <f>AL463/AM463</f>
        <v>4.7130434782608699</v>
      </c>
      <c r="AR463" s="1">
        <v>1</v>
      </c>
      <c r="AS463">
        <v>1</v>
      </c>
      <c r="AT463" s="1">
        <v>0</v>
      </c>
      <c r="AU463">
        <v>0</v>
      </c>
      <c r="AV463" s="1">
        <v>0</v>
      </c>
      <c r="AW463">
        <v>0</v>
      </c>
      <c r="AX463" s="1">
        <v>0</v>
      </c>
      <c r="AY463">
        <v>0</v>
      </c>
      <c r="AZ463" s="1">
        <v>0</v>
      </c>
      <c r="BA463">
        <v>0</v>
      </c>
      <c r="BB463" s="1">
        <v>0</v>
      </c>
      <c r="BC463">
        <v>0</v>
      </c>
      <c r="BD463">
        <v>2</v>
      </c>
      <c r="BE463" s="1">
        <v>2</v>
      </c>
      <c r="BF463" s="1">
        <v>1</v>
      </c>
      <c r="BG463" s="1">
        <v>59</v>
      </c>
      <c r="BH463">
        <f>36406.18+13.82+32327+11704+420+900+11122+3820+11727+4064+1575</f>
        <v>114079</v>
      </c>
      <c r="BI463" s="1">
        <v>0</v>
      </c>
      <c r="BJ463" s="1">
        <v>1</v>
      </c>
    </row>
    <row r="464" spans="1:62" x14ac:dyDescent="0.3">
      <c r="A464" s="1">
        <v>1</v>
      </c>
      <c r="B464" s="1">
        <v>463</v>
      </c>
      <c r="C464" s="1" t="s">
        <v>54</v>
      </c>
      <c r="D464">
        <v>0</v>
      </c>
      <c r="E464" s="6">
        <v>43061</v>
      </c>
      <c r="F464" s="1" t="s">
        <v>53</v>
      </c>
      <c r="G464" s="1">
        <v>0</v>
      </c>
      <c r="H464" s="1">
        <v>1</v>
      </c>
      <c r="I464" s="1">
        <v>1</v>
      </c>
      <c r="J464" s="1" t="s">
        <v>190</v>
      </c>
      <c r="K464" s="1">
        <v>20.9</v>
      </c>
      <c r="L464" s="1">
        <v>2</v>
      </c>
      <c r="M464" s="1">
        <v>1</v>
      </c>
      <c r="N464" s="1">
        <v>1</v>
      </c>
      <c r="O464" s="1">
        <v>1</v>
      </c>
      <c r="P464" s="1">
        <v>1</v>
      </c>
      <c r="Q464" s="1">
        <v>1</v>
      </c>
      <c r="R464" s="1">
        <v>0</v>
      </c>
      <c r="S464" s="1">
        <v>0</v>
      </c>
      <c r="T464" s="1">
        <v>1</v>
      </c>
      <c r="U464" s="1">
        <v>0</v>
      </c>
      <c r="V464" s="1">
        <v>0</v>
      </c>
      <c r="W464" s="1">
        <v>0</v>
      </c>
      <c r="X464" s="1">
        <v>1</v>
      </c>
      <c r="Y464" s="1">
        <v>0</v>
      </c>
      <c r="Z464" s="1">
        <v>2</v>
      </c>
      <c r="AA464">
        <v>1.5706499999999999</v>
      </c>
      <c r="AB464" s="1">
        <v>6.99</v>
      </c>
      <c r="AC464" s="1">
        <v>21</v>
      </c>
      <c r="AD464">
        <f t="shared" si="15"/>
        <v>33.285714285714285</v>
      </c>
      <c r="AG464" s="1">
        <v>5.15</v>
      </c>
      <c r="AK464" s="1">
        <v>58.4</v>
      </c>
      <c r="AL464" s="1">
        <v>30.3</v>
      </c>
      <c r="AM464" s="1">
        <v>26.8</v>
      </c>
      <c r="AN464" s="1">
        <v>724</v>
      </c>
      <c r="AO464" s="1">
        <v>376</v>
      </c>
      <c r="AP464" s="1">
        <v>332</v>
      </c>
      <c r="AQ464">
        <f>AL464/AM464</f>
        <v>1.1305970149253732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1</v>
      </c>
      <c r="BE464" s="1">
        <v>1</v>
      </c>
      <c r="BF464" s="1">
        <v>1</v>
      </c>
      <c r="BG464" s="1">
        <v>18</v>
      </c>
      <c r="BH464" s="1">
        <v>48013.05</v>
      </c>
      <c r="BI464" s="1">
        <v>1</v>
      </c>
      <c r="BJ464" s="1">
        <v>1</v>
      </c>
    </row>
    <row r="465" spans="1:62" x14ac:dyDescent="0.3">
      <c r="A465" s="1">
        <v>1</v>
      </c>
      <c r="B465" s="1">
        <v>464</v>
      </c>
      <c r="C465" s="1" t="s">
        <v>51</v>
      </c>
      <c r="D465">
        <v>0</v>
      </c>
      <c r="E465" s="6">
        <v>42898</v>
      </c>
      <c r="F465" s="1" t="s">
        <v>52</v>
      </c>
      <c r="G465" s="1">
        <v>0</v>
      </c>
      <c r="H465" s="1">
        <v>1</v>
      </c>
      <c r="I465" s="1">
        <v>2</v>
      </c>
      <c r="J465" s="1" t="s">
        <v>193</v>
      </c>
      <c r="K465" s="1">
        <v>22.86</v>
      </c>
      <c r="L465" s="1">
        <v>0</v>
      </c>
      <c r="M465" s="1">
        <v>1</v>
      </c>
      <c r="N465" s="1">
        <v>1</v>
      </c>
      <c r="O465" s="1">
        <v>0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2</v>
      </c>
      <c r="AA465">
        <v>0.30114000000000002</v>
      </c>
      <c r="AB465" s="1">
        <v>9.7799999999999994</v>
      </c>
      <c r="AC465" s="1">
        <v>80</v>
      </c>
      <c r="AD465">
        <f t="shared" si="15"/>
        <v>12.224999999999998</v>
      </c>
      <c r="AE465" s="1">
        <v>5</v>
      </c>
      <c r="AF465" s="1">
        <v>2177</v>
      </c>
      <c r="AG465" s="1">
        <v>29.6</v>
      </c>
      <c r="AH465" s="1">
        <v>58.1</v>
      </c>
      <c r="AI465" s="1">
        <v>5.85</v>
      </c>
      <c r="AJ465" s="1">
        <v>6.72</v>
      </c>
      <c r="AK465" s="1">
        <v>52.3</v>
      </c>
      <c r="AL465" s="1">
        <v>40.1</v>
      </c>
      <c r="AM465" s="1">
        <v>11.4</v>
      </c>
      <c r="AN465" s="1">
        <v>162</v>
      </c>
      <c r="AO465" s="1">
        <v>124</v>
      </c>
      <c r="AP465" s="1">
        <v>35</v>
      </c>
      <c r="AQ465">
        <f>AL465/AM465</f>
        <v>3.5175438596491229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2</v>
      </c>
      <c r="BE465" s="1">
        <v>2</v>
      </c>
      <c r="BF465" s="1">
        <v>1</v>
      </c>
      <c r="BG465" s="1">
        <v>26</v>
      </c>
      <c r="BH465" s="1">
        <v>116961.52</v>
      </c>
      <c r="BI465" s="1">
        <v>1</v>
      </c>
      <c r="BJ465" s="1">
        <v>1</v>
      </c>
    </row>
    <row r="466" spans="1:62" x14ac:dyDescent="0.3">
      <c r="A466" s="1">
        <v>1</v>
      </c>
      <c r="B466">
        <v>465</v>
      </c>
      <c r="C466" s="1" t="s">
        <v>57</v>
      </c>
      <c r="D466">
        <v>0</v>
      </c>
      <c r="E466" s="6">
        <v>43100</v>
      </c>
      <c r="F466" s="1" t="s">
        <v>121</v>
      </c>
      <c r="G466" s="1">
        <v>0</v>
      </c>
      <c r="H466" s="1">
        <v>1</v>
      </c>
      <c r="I466" s="1">
        <v>2</v>
      </c>
      <c r="J466" s="1" t="s">
        <v>197</v>
      </c>
      <c r="K466" s="1">
        <v>20.81</v>
      </c>
      <c r="L466" s="1">
        <v>0</v>
      </c>
      <c r="M466" s="1">
        <v>0</v>
      </c>
      <c r="N466" s="1">
        <v>1</v>
      </c>
      <c r="O466" s="1">
        <v>0</v>
      </c>
      <c r="P466" s="1">
        <v>1</v>
      </c>
      <c r="Q466" s="1">
        <v>0</v>
      </c>
      <c r="R466" s="1">
        <v>1</v>
      </c>
      <c r="S466" s="1">
        <v>0</v>
      </c>
      <c r="T466" s="1">
        <v>0</v>
      </c>
      <c r="U466" s="1">
        <v>0</v>
      </c>
      <c r="V466" s="1">
        <v>1</v>
      </c>
      <c r="W466" s="1">
        <v>0</v>
      </c>
      <c r="X466" s="1">
        <v>0</v>
      </c>
      <c r="Y466" s="1">
        <v>0</v>
      </c>
      <c r="Z466" s="1">
        <v>2</v>
      </c>
      <c r="AA466">
        <v>0.63375999999999999</v>
      </c>
      <c r="AB466" s="1">
        <v>14.03</v>
      </c>
      <c r="AC466" s="1">
        <v>33</v>
      </c>
      <c r="AD466">
        <f t="shared" si="15"/>
        <v>42.515151515151516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1</v>
      </c>
      <c r="BC466">
        <v>0</v>
      </c>
      <c r="BD466" s="1">
        <v>4</v>
      </c>
      <c r="BE466" s="1">
        <v>0</v>
      </c>
      <c r="BF466" s="1">
        <v>0</v>
      </c>
      <c r="BG466" s="1">
        <v>82</v>
      </c>
      <c r="BH466">
        <f>36308.73+1059.38+141.23+32882+3024+70+23838+3426+17.5+8150+4062+2037+2021.88</f>
        <v>117037.72</v>
      </c>
      <c r="BI466" s="1">
        <v>1</v>
      </c>
      <c r="BJ466" s="1">
        <v>1</v>
      </c>
    </row>
    <row r="467" spans="1:62" x14ac:dyDescent="0.3">
      <c r="A467">
        <v>1</v>
      </c>
      <c r="B467" s="1">
        <v>466</v>
      </c>
      <c r="C467" s="1" t="s">
        <v>60</v>
      </c>
      <c r="D467">
        <v>0</v>
      </c>
      <c r="E467" s="2">
        <v>43522</v>
      </c>
      <c r="F467" t="s">
        <v>123</v>
      </c>
      <c r="G467" s="1">
        <v>0</v>
      </c>
      <c r="H467" s="1">
        <v>1</v>
      </c>
      <c r="I467" s="1">
        <v>2</v>
      </c>
      <c r="J467" s="1" t="s">
        <v>193</v>
      </c>
      <c r="K467" s="1">
        <v>27.76</v>
      </c>
      <c r="L467" s="1">
        <v>0</v>
      </c>
      <c r="M467" s="1">
        <v>1</v>
      </c>
      <c r="N467" s="1">
        <v>1</v>
      </c>
      <c r="O467" s="1">
        <v>1</v>
      </c>
      <c r="P467" s="1">
        <v>1</v>
      </c>
      <c r="Q467" s="1">
        <v>1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2</v>
      </c>
      <c r="AA467">
        <f>5.69*0.086</f>
        <v>0.48934</v>
      </c>
      <c r="AB467" s="1">
        <v>7.58</v>
      </c>
      <c r="AC467" s="1">
        <v>21</v>
      </c>
      <c r="AD467">
        <f t="shared" si="15"/>
        <v>36.095238095238095</v>
      </c>
      <c r="AE467" s="1">
        <v>5</v>
      </c>
      <c r="AF467" s="1">
        <v>656</v>
      </c>
      <c r="AG467" s="1">
        <v>42.2</v>
      </c>
      <c r="AH467">
        <v>8.06</v>
      </c>
      <c r="AI467" s="1">
        <v>7.38</v>
      </c>
      <c r="AJ467" s="1">
        <v>8.0399999999999991</v>
      </c>
      <c r="AK467">
        <v>51.5</v>
      </c>
      <c r="AL467">
        <v>32.6</v>
      </c>
      <c r="AM467">
        <v>17.8</v>
      </c>
      <c r="AN467">
        <v>216</v>
      </c>
      <c r="AO467">
        <v>137</v>
      </c>
      <c r="AP467">
        <v>75</v>
      </c>
      <c r="AQ467">
        <f>AL467/AM467</f>
        <v>1.8314606741573034</v>
      </c>
      <c r="AR467">
        <v>1</v>
      </c>
      <c r="AS467">
        <v>1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2</v>
      </c>
      <c r="BE467" s="1">
        <v>1</v>
      </c>
      <c r="BF467" s="1">
        <v>1</v>
      </c>
      <c r="BG467" s="1">
        <v>15</v>
      </c>
      <c r="BH467">
        <f>15559.92+121.66+19221+2370+210+2919+14+996+5400+330+805.51</f>
        <v>47947.090000000004</v>
      </c>
      <c r="BI467" s="1">
        <v>1</v>
      </c>
      <c r="BJ467" s="1">
        <v>1</v>
      </c>
    </row>
    <row r="468" spans="1:62" x14ac:dyDescent="0.3">
      <c r="A468" s="1">
        <v>1</v>
      </c>
      <c r="B468">
        <v>467</v>
      </c>
      <c r="C468" s="1" t="s">
        <v>108</v>
      </c>
      <c r="D468">
        <v>0</v>
      </c>
      <c r="E468" s="6">
        <v>43170</v>
      </c>
      <c r="F468" s="1" t="s">
        <v>61</v>
      </c>
      <c r="G468" s="1">
        <v>0</v>
      </c>
      <c r="H468" s="1">
        <v>1</v>
      </c>
      <c r="I468" s="1">
        <v>2</v>
      </c>
      <c r="J468" s="1" t="s">
        <v>195</v>
      </c>
      <c r="K468" s="1">
        <v>19.03</v>
      </c>
      <c r="L468" s="1">
        <v>0</v>
      </c>
      <c r="M468" s="1">
        <v>1</v>
      </c>
      <c r="N468" s="1">
        <v>1</v>
      </c>
      <c r="O468" s="1">
        <v>0</v>
      </c>
      <c r="P468" s="1">
        <v>0</v>
      </c>
      <c r="Q468" s="1">
        <v>1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1</v>
      </c>
      <c r="Z468" s="1">
        <v>2</v>
      </c>
      <c r="AA468">
        <v>0.35155999999999998</v>
      </c>
      <c r="AB468" s="1">
        <v>18.5</v>
      </c>
      <c r="AC468" s="1">
        <v>50</v>
      </c>
      <c r="AD468">
        <f t="shared" si="15"/>
        <v>37</v>
      </c>
      <c r="AR468" s="1">
        <v>1</v>
      </c>
      <c r="AS468" s="1">
        <v>1</v>
      </c>
      <c r="AT468" s="1">
        <v>1</v>
      </c>
      <c r="AU468" s="1">
        <v>0</v>
      </c>
      <c r="AV468" s="1">
        <v>1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4</v>
      </c>
      <c r="BE468" s="1">
        <v>2</v>
      </c>
      <c r="BF468" s="1">
        <v>1</v>
      </c>
      <c r="BG468" s="1">
        <v>47</v>
      </c>
      <c r="BH468" s="1">
        <v>200652.01</v>
      </c>
      <c r="BI468" s="1">
        <v>0</v>
      </c>
      <c r="BJ468" s="1">
        <v>0</v>
      </c>
    </row>
    <row r="469" spans="1:62" x14ac:dyDescent="0.3">
      <c r="A469">
        <v>1</v>
      </c>
      <c r="B469" s="1">
        <v>468</v>
      </c>
      <c r="C469" s="1" t="s">
        <v>60</v>
      </c>
      <c r="D469">
        <v>0</v>
      </c>
      <c r="E469" s="2">
        <v>43530</v>
      </c>
      <c r="F469" t="s">
        <v>53</v>
      </c>
      <c r="G469" s="1">
        <v>0</v>
      </c>
      <c r="H469" s="1">
        <v>0</v>
      </c>
      <c r="I469" s="1">
        <v>2</v>
      </c>
      <c r="J469" s="1" t="s">
        <v>193</v>
      </c>
      <c r="K469" s="1">
        <v>25.5</v>
      </c>
      <c r="L469" s="1">
        <v>1</v>
      </c>
      <c r="M469" s="1">
        <v>1</v>
      </c>
      <c r="N469" s="1">
        <v>1</v>
      </c>
      <c r="O469" s="1">
        <v>1</v>
      </c>
      <c r="P469" s="1">
        <v>0</v>
      </c>
      <c r="Q469" s="1">
        <v>1</v>
      </c>
      <c r="R469" s="1">
        <v>0</v>
      </c>
      <c r="S469" s="1">
        <v>0</v>
      </c>
      <c r="T469" s="1">
        <v>1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1</v>
      </c>
      <c r="AA469" s="1">
        <v>0.75</v>
      </c>
      <c r="AK469">
        <v>65.599999999999994</v>
      </c>
      <c r="AL469">
        <v>18.100000000000001</v>
      </c>
      <c r="AM469">
        <v>48</v>
      </c>
      <c r="AQ469">
        <f>AL469/AM469</f>
        <v>0.37708333333333338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2</v>
      </c>
      <c r="BE469" s="1">
        <v>0</v>
      </c>
      <c r="BF469" s="1">
        <v>0</v>
      </c>
      <c r="BG469" s="1">
        <v>7</v>
      </c>
      <c r="BH469">
        <f>4597.62+28.95+5575+2453+211+406+354+350+60.8</f>
        <v>14036.369999999999</v>
      </c>
      <c r="BI469" s="1">
        <v>0</v>
      </c>
      <c r="BJ469" s="1">
        <v>0</v>
      </c>
    </row>
    <row r="470" spans="1:62" x14ac:dyDescent="0.3">
      <c r="A470" s="1">
        <v>1</v>
      </c>
      <c r="B470" s="1">
        <v>469</v>
      </c>
      <c r="C470" s="1" t="s">
        <v>51</v>
      </c>
      <c r="D470">
        <v>0</v>
      </c>
      <c r="E470" s="6">
        <v>42797</v>
      </c>
      <c r="F470" s="1" t="s">
        <v>52</v>
      </c>
      <c r="G470" s="1">
        <v>0</v>
      </c>
      <c r="H470" s="1">
        <v>1</v>
      </c>
      <c r="I470" s="1">
        <v>4</v>
      </c>
      <c r="J470" s="1" t="s">
        <v>182</v>
      </c>
      <c r="K470" s="1">
        <v>19.59</v>
      </c>
      <c r="L470" s="1">
        <v>0</v>
      </c>
      <c r="M470" s="1">
        <v>1</v>
      </c>
      <c r="N470" s="1">
        <v>1</v>
      </c>
      <c r="O470" s="1">
        <v>1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1</v>
      </c>
      <c r="Z470" s="1">
        <v>2</v>
      </c>
      <c r="AA470">
        <v>0.27263999999999999</v>
      </c>
      <c r="AB470" s="1">
        <v>15.38</v>
      </c>
      <c r="AC470" s="1">
        <v>33</v>
      </c>
      <c r="AD470">
        <f>AB470*100/AC470</f>
        <v>46.606060606060609</v>
      </c>
      <c r="AE470" s="1">
        <v>5</v>
      </c>
      <c r="AF470" s="1">
        <v>1719</v>
      </c>
      <c r="AG470" s="1">
        <v>24.9</v>
      </c>
      <c r="AH470" s="1">
        <v>18.600000000000001</v>
      </c>
      <c r="AI470" s="1">
        <v>11.8</v>
      </c>
      <c r="AJ470" s="1">
        <v>4</v>
      </c>
      <c r="AK470" s="1">
        <v>71.599999999999994</v>
      </c>
      <c r="AL470" s="1">
        <v>21.3</v>
      </c>
      <c r="AM470" s="1">
        <v>44.6</v>
      </c>
      <c r="AN470" s="1">
        <v>286</v>
      </c>
      <c r="AO470" s="1">
        <v>85</v>
      </c>
      <c r="AP470" s="1">
        <v>178</v>
      </c>
      <c r="AQ470">
        <f>AL470/AM470</f>
        <v>0.47757847533632286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1</v>
      </c>
      <c r="BF470" s="1">
        <v>1</v>
      </c>
      <c r="BG470" s="1">
        <v>57</v>
      </c>
      <c r="BH470" s="1">
        <v>121112.95</v>
      </c>
      <c r="BI470" s="1">
        <v>0</v>
      </c>
      <c r="BJ470" s="1">
        <v>1</v>
      </c>
    </row>
    <row r="471" spans="1:62" x14ac:dyDescent="0.3">
      <c r="A471" s="1">
        <v>1</v>
      </c>
      <c r="B471">
        <v>470</v>
      </c>
      <c r="C471" s="1" t="s">
        <v>51</v>
      </c>
      <c r="D471">
        <v>0</v>
      </c>
      <c r="E471" s="6">
        <v>42797</v>
      </c>
      <c r="F471" s="1" t="s">
        <v>52</v>
      </c>
      <c r="G471" s="1">
        <v>0</v>
      </c>
      <c r="H471" s="1">
        <v>1</v>
      </c>
      <c r="I471" s="1">
        <v>4</v>
      </c>
      <c r="J471" s="1" t="s">
        <v>182</v>
      </c>
      <c r="K471" s="1">
        <v>19.59</v>
      </c>
      <c r="L471" s="1">
        <v>1</v>
      </c>
      <c r="M471" s="1">
        <v>1</v>
      </c>
      <c r="N471" s="1">
        <v>1</v>
      </c>
      <c r="O471" s="1">
        <v>1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1</v>
      </c>
      <c r="Z471" s="1">
        <v>2</v>
      </c>
      <c r="AA471">
        <v>0.27263999999999999</v>
      </c>
      <c r="AB471" s="1">
        <v>15.38</v>
      </c>
      <c r="AC471" s="1">
        <v>33</v>
      </c>
      <c r="AD471">
        <f>AB471*100/AC471</f>
        <v>46.606060606060609</v>
      </c>
      <c r="AE471" s="1">
        <v>5</v>
      </c>
      <c r="AF471" s="1">
        <v>1719</v>
      </c>
      <c r="AG471" s="1">
        <v>24.9</v>
      </c>
      <c r="AH471" s="1">
        <v>18.600000000000001</v>
      </c>
      <c r="AI471" s="1">
        <v>11.8</v>
      </c>
      <c r="AJ471" s="1">
        <v>4</v>
      </c>
      <c r="AK471" s="1">
        <v>71.599999999999994</v>
      </c>
      <c r="AL471" s="1">
        <v>21.3</v>
      </c>
      <c r="AM471" s="1">
        <v>44.6</v>
      </c>
      <c r="AN471" s="1">
        <v>286</v>
      </c>
      <c r="AO471" s="1">
        <v>85</v>
      </c>
      <c r="AP471" s="1">
        <v>178</v>
      </c>
      <c r="AQ471">
        <f>AL471/AM471</f>
        <v>0.47757847533632286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1</v>
      </c>
      <c r="BF471" s="1">
        <v>1</v>
      </c>
      <c r="BG471" s="1">
        <v>57</v>
      </c>
      <c r="BH471" s="1">
        <v>121112.95</v>
      </c>
      <c r="BI471" s="1">
        <v>0</v>
      </c>
      <c r="BJ471" s="1">
        <v>1</v>
      </c>
    </row>
    <row r="472" spans="1:62" x14ac:dyDescent="0.3">
      <c r="A472" s="1">
        <v>1</v>
      </c>
      <c r="B472" s="1">
        <v>471</v>
      </c>
      <c r="C472" s="1" t="s">
        <v>109</v>
      </c>
      <c r="D472">
        <v>0</v>
      </c>
      <c r="E472" s="6">
        <v>43178</v>
      </c>
      <c r="F472" s="1" t="s">
        <v>85</v>
      </c>
      <c r="G472" s="1">
        <v>0</v>
      </c>
      <c r="H472" s="1">
        <v>0</v>
      </c>
      <c r="I472" s="1">
        <v>3</v>
      </c>
      <c r="J472" s="1" t="s">
        <v>187</v>
      </c>
      <c r="K472" s="1">
        <v>28.21</v>
      </c>
      <c r="L472" s="1">
        <v>1</v>
      </c>
      <c r="M472" s="1">
        <v>0</v>
      </c>
      <c r="N472" s="1">
        <v>1</v>
      </c>
      <c r="O472" s="1">
        <v>0</v>
      </c>
      <c r="P472" s="1">
        <v>0</v>
      </c>
      <c r="Q472" s="1">
        <v>1</v>
      </c>
      <c r="R472" s="1">
        <v>1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1</v>
      </c>
      <c r="AA472">
        <v>2.3557799999999998</v>
      </c>
      <c r="AG472" s="1">
        <v>5.26</v>
      </c>
      <c r="AH472" s="1">
        <v>34.1</v>
      </c>
      <c r="AI472" s="1">
        <v>5</v>
      </c>
      <c r="AK472" s="1">
        <v>74.2</v>
      </c>
      <c r="AL472" s="1">
        <v>48.2</v>
      </c>
      <c r="AM472" s="1">
        <v>24.3</v>
      </c>
      <c r="AN472" s="1">
        <v>1729</v>
      </c>
      <c r="AO472" s="1">
        <v>112.3</v>
      </c>
      <c r="AP472" s="1">
        <v>566</v>
      </c>
      <c r="AQ472">
        <f>AL472/AM472</f>
        <v>1.9835390946502058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8</v>
      </c>
      <c r="BH472" s="1">
        <v>35335.26</v>
      </c>
      <c r="BI472" s="1">
        <v>0</v>
      </c>
      <c r="BJ472" s="1">
        <v>0</v>
      </c>
    </row>
    <row r="473" spans="1:62" x14ac:dyDescent="0.3">
      <c r="A473">
        <v>1</v>
      </c>
      <c r="B473">
        <v>472</v>
      </c>
      <c r="C473" t="s">
        <v>49</v>
      </c>
      <c r="D473">
        <v>0</v>
      </c>
      <c r="E473" s="2">
        <v>43518</v>
      </c>
      <c r="F473" t="s">
        <v>121</v>
      </c>
      <c r="G473" s="1">
        <v>0</v>
      </c>
      <c r="H473" s="1">
        <v>0</v>
      </c>
      <c r="I473" s="1">
        <v>2</v>
      </c>
      <c r="J473" s="1" t="s">
        <v>197</v>
      </c>
      <c r="K473" s="1">
        <v>20.81</v>
      </c>
      <c r="L473" s="1">
        <v>0</v>
      </c>
      <c r="M473" s="1">
        <v>1</v>
      </c>
      <c r="N473" s="1">
        <v>1</v>
      </c>
      <c r="O473" s="1">
        <v>0</v>
      </c>
      <c r="P473" s="1">
        <v>1</v>
      </c>
      <c r="Q473" s="1">
        <v>0</v>
      </c>
      <c r="R473" s="1">
        <v>1</v>
      </c>
      <c r="S473" s="1">
        <v>0</v>
      </c>
      <c r="T473" s="1">
        <v>0</v>
      </c>
      <c r="U473" s="1">
        <v>0</v>
      </c>
      <c r="V473" s="1">
        <v>1</v>
      </c>
      <c r="W473" s="1">
        <v>1</v>
      </c>
      <c r="X473" s="1">
        <v>0</v>
      </c>
      <c r="Y473" s="1">
        <v>0</v>
      </c>
      <c r="Z473" s="1">
        <v>2</v>
      </c>
      <c r="AA473" s="1">
        <v>1.84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2</v>
      </c>
      <c r="BE473" s="1">
        <v>0</v>
      </c>
      <c r="BF473" s="1">
        <v>0</v>
      </c>
      <c r="BG473" s="1">
        <v>98</v>
      </c>
      <c r="BH473">
        <f>28824.25+975.63+29453+1730+70+36774+920+4634+9750+8465+4875+1204.56</f>
        <v>127675.44</v>
      </c>
      <c r="BI473" s="1">
        <v>0</v>
      </c>
      <c r="BJ473" s="1">
        <v>0</v>
      </c>
    </row>
    <row r="474" spans="1:62" x14ac:dyDescent="0.3">
      <c r="A474" s="1">
        <v>1</v>
      </c>
      <c r="B474" s="1">
        <v>473</v>
      </c>
      <c r="C474" s="1" t="s">
        <v>69</v>
      </c>
      <c r="D474">
        <v>0</v>
      </c>
      <c r="E474" s="6">
        <v>42984</v>
      </c>
      <c r="F474" s="1" t="s">
        <v>82</v>
      </c>
      <c r="G474" s="1">
        <v>0</v>
      </c>
      <c r="H474" s="1">
        <v>0</v>
      </c>
      <c r="I474" s="1">
        <v>3</v>
      </c>
      <c r="J474" s="1" t="s">
        <v>183</v>
      </c>
      <c r="K474" s="1">
        <v>21.55</v>
      </c>
      <c r="L474" s="1">
        <v>1</v>
      </c>
      <c r="M474" s="1">
        <v>0</v>
      </c>
      <c r="N474" s="1">
        <v>0</v>
      </c>
      <c r="O474" s="1">
        <v>0</v>
      </c>
      <c r="P474" s="1">
        <v>1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1</v>
      </c>
      <c r="X474" s="1">
        <v>0</v>
      </c>
      <c r="Y474" s="1">
        <v>0</v>
      </c>
      <c r="Z474" s="1">
        <v>1</v>
      </c>
      <c r="AA474">
        <v>0.47090000000000004</v>
      </c>
      <c r="AK474" s="1">
        <v>90.4</v>
      </c>
      <c r="AL474" s="1">
        <v>34</v>
      </c>
      <c r="AM474" s="1">
        <v>55.3</v>
      </c>
      <c r="AN474" s="1">
        <v>515</v>
      </c>
      <c r="AO474" s="1">
        <v>194</v>
      </c>
      <c r="AP474" s="1">
        <v>315</v>
      </c>
      <c r="AQ474">
        <f>AL474/AM474</f>
        <v>0.6148282097649187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3</v>
      </c>
      <c r="BE474" s="1">
        <v>0</v>
      </c>
      <c r="BF474" s="1">
        <v>0</v>
      </c>
      <c r="BG474" s="1">
        <v>48</v>
      </c>
      <c r="BH474" s="1">
        <v>128059.87</v>
      </c>
      <c r="BI474" s="1">
        <v>0</v>
      </c>
      <c r="BJ474" s="1">
        <v>0</v>
      </c>
    </row>
    <row r="475" spans="1:62" x14ac:dyDescent="0.3">
      <c r="A475">
        <v>1</v>
      </c>
      <c r="B475" s="1">
        <v>474</v>
      </c>
      <c r="C475" t="s">
        <v>69</v>
      </c>
      <c r="D475">
        <v>0</v>
      </c>
      <c r="E475" s="2">
        <v>43507</v>
      </c>
      <c r="F475" t="s">
        <v>53</v>
      </c>
      <c r="G475" s="1">
        <v>0</v>
      </c>
      <c r="H475" s="1">
        <v>0</v>
      </c>
      <c r="I475" s="1">
        <v>2</v>
      </c>
      <c r="J475" s="1" t="s">
        <v>193</v>
      </c>
      <c r="K475" s="1">
        <v>27.61</v>
      </c>
      <c r="L475" s="1">
        <v>2</v>
      </c>
      <c r="M475" s="1">
        <v>1</v>
      </c>
      <c r="N475" s="1">
        <v>1</v>
      </c>
      <c r="O475" s="1">
        <v>0</v>
      </c>
      <c r="P475" s="1">
        <v>1</v>
      </c>
      <c r="Q475" s="1">
        <v>1</v>
      </c>
      <c r="R475" s="1">
        <v>1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1</v>
      </c>
      <c r="Y475" s="1">
        <v>0</v>
      </c>
      <c r="Z475" s="1">
        <v>1</v>
      </c>
      <c r="AA475" s="1">
        <v>1.88</v>
      </c>
      <c r="AK475">
        <v>50.9</v>
      </c>
      <c r="AL475">
        <v>38.700000000000003</v>
      </c>
      <c r="AM475">
        <v>11.7</v>
      </c>
      <c r="AQ475">
        <f>AL475/AM475</f>
        <v>3.3076923076923079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1</v>
      </c>
      <c r="BE475" s="1">
        <v>0</v>
      </c>
      <c r="BF475" s="1">
        <v>0</v>
      </c>
      <c r="BG475" s="1">
        <v>16</v>
      </c>
      <c r="BH475">
        <f>3470.9+9681+5003+502+899+749+775+105</f>
        <v>21184.9</v>
      </c>
      <c r="BI475" s="1">
        <v>0</v>
      </c>
      <c r="BJ475" s="1">
        <v>1</v>
      </c>
    </row>
    <row r="476" spans="1:62" x14ac:dyDescent="0.3">
      <c r="A476">
        <v>1</v>
      </c>
      <c r="B476">
        <v>475</v>
      </c>
      <c r="C476" s="1" t="s">
        <v>60</v>
      </c>
      <c r="D476">
        <v>0</v>
      </c>
      <c r="E476" s="2">
        <v>43508</v>
      </c>
      <c r="F476" t="s">
        <v>139</v>
      </c>
      <c r="G476" s="1">
        <v>0</v>
      </c>
      <c r="H476" s="1">
        <v>0</v>
      </c>
      <c r="I476" s="1">
        <v>2</v>
      </c>
      <c r="J476" s="1" t="s">
        <v>196</v>
      </c>
      <c r="K476" s="1">
        <v>22.58</v>
      </c>
      <c r="L476" s="1">
        <v>0</v>
      </c>
      <c r="M476" s="1">
        <v>1</v>
      </c>
      <c r="N476" s="1">
        <v>1</v>
      </c>
      <c r="O476" s="1">
        <v>1</v>
      </c>
      <c r="P476" s="1">
        <v>0</v>
      </c>
      <c r="Q476" s="1">
        <v>1</v>
      </c>
      <c r="R476" s="1">
        <v>0</v>
      </c>
      <c r="S476" s="1">
        <v>0</v>
      </c>
      <c r="T476" s="1">
        <v>0</v>
      </c>
      <c r="U476" s="1">
        <v>0</v>
      </c>
      <c r="V476" s="1">
        <v>1</v>
      </c>
      <c r="W476" s="1">
        <v>0</v>
      </c>
      <c r="X476" s="1">
        <v>0</v>
      </c>
      <c r="Y476" s="1">
        <v>0</v>
      </c>
      <c r="Z476" s="1">
        <v>2</v>
      </c>
      <c r="AA476" s="1">
        <v>0.85</v>
      </c>
      <c r="AR476">
        <v>1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1</v>
      </c>
      <c r="BE476" s="1">
        <v>0</v>
      </c>
      <c r="BF476" s="1">
        <v>0</v>
      </c>
      <c r="BG476" s="1">
        <v>22</v>
      </c>
      <c r="BH476">
        <f>8778.78+11395+354+140+390+960+1247+1118+1075+485.55</f>
        <v>25943.329999999998</v>
      </c>
      <c r="BI476" s="1">
        <v>0</v>
      </c>
      <c r="BJ476" s="1">
        <v>0</v>
      </c>
    </row>
    <row r="477" spans="1:62" x14ac:dyDescent="0.3">
      <c r="A477" s="1">
        <v>1</v>
      </c>
      <c r="B477" s="1">
        <v>476</v>
      </c>
      <c r="C477" s="1" t="s">
        <v>102</v>
      </c>
      <c r="D477">
        <v>1</v>
      </c>
      <c r="E477" s="6">
        <v>43129</v>
      </c>
      <c r="F477" s="1" t="s">
        <v>103</v>
      </c>
      <c r="G477" s="1">
        <v>0</v>
      </c>
      <c r="H477" s="1">
        <v>1</v>
      </c>
      <c r="I477" s="1">
        <v>2</v>
      </c>
      <c r="J477" s="1" t="s">
        <v>191</v>
      </c>
      <c r="K477" s="1">
        <v>23.34</v>
      </c>
      <c r="L477" s="1">
        <v>0</v>
      </c>
      <c r="M477" s="1">
        <v>1</v>
      </c>
      <c r="N477" s="1">
        <v>1</v>
      </c>
      <c r="O477" s="1">
        <v>0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2</v>
      </c>
      <c r="AA477">
        <v>0.28776000000000002</v>
      </c>
      <c r="AB477" s="1">
        <v>11.51</v>
      </c>
      <c r="AC477" s="1">
        <v>50</v>
      </c>
      <c r="AD477">
        <f>AB477*100/AC477</f>
        <v>23.02</v>
      </c>
      <c r="AG477" s="1">
        <v>7.16</v>
      </c>
      <c r="AK477" s="1">
        <v>75.2</v>
      </c>
      <c r="AL477" s="1">
        <v>48.5</v>
      </c>
      <c r="AM477" s="1">
        <v>23.8</v>
      </c>
      <c r="AN477" s="1">
        <v>301</v>
      </c>
      <c r="AO477" s="1">
        <v>194</v>
      </c>
      <c r="AP477" s="1">
        <v>95</v>
      </c>
      <c r="AQ477">
        <f>AL477/AM477</f>
        <v>2.03781512605042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1</v>
      </c>
      <c r="BE477" s="1">
        <v>1</v>
      </c>
      <c r="BF477" s="1">
        <v>1</v>
      </c>
      <c r="BG477" s="1">
        <v>24</v>
      </c>
      <c r="BH477" s="1">
        <v>144082.10999999999</v>
      </c>
      <c r="BI477" s="1">
        <v>1</v>
      </c>
      <c r="BJ477" s="1">
        <v>1</v>
      </c>
    </row>
    <row r="478" spans="1:62" x14ac:dyDescent="0.3">
      <c r="A478">
        <v>1</v>
      </c>
      <c r="B478">
        <v>477</v>
      </c>
      <c r="C478" t="s">
        <v>62</v>
      </c>
      <c r="D478">
        <v>0</v>
      </c>
      <c r="E478" s="2">
        <v>43482</v>
      </c>
      <c r="F478" t="s">
        <v>64</v>
      </c>
      <c r="G478" s="1">
        <v>0</v>
      </c>
      <c r="H478" s="1">
        <v>0</v>
      </c>
      <c r="I478" s="1">
        <v>2</v>
      </c>
      <c r="J478" s="1" t="s">
        <v>195</v>
      </c>
      <c r="K478" s="1">
        <v>24.84</v>
      </c>
      <c r="L478" s="1">
        <v>0</v>
      </c>
      <c r="M478" s="1">
        <v>1</v>
      </c>
      <c r="N478" s="1">
        <v>1</v>
      </c>
      <c r="O478" s="1">
        <v>0</v>
      </c>
      <c r="P478" s="1">
        <v>0</v>
      </c>
      <c r="Q478" s="1">
        <v>1</v>
      </c>
      <c r="R478" s="1">
        <v>0</v>
      </c>
      <c r="S478" s="1">
        <v>0</v>
      </c>
      <c r="T478" s="1">
        <v>0</v>
      </c>
      <c r="U478" s="1">
        <v>0</v>
      </c>
      <c r="V478" s="1">
        <v>1</v>
      </c>
      <c r="W478" s="1">
        <v>0</v>
      </c>
      <c r="X478" s="1">
        <v>1</v>
      </c>
      <c r="Y478" s="1">
        <v>0</v>
      </c>
      <c r="Z478" s="1">
        <v>2</v>
      </c>
      <c r="AA478" s="1">
        <v>1.96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3</v>
      </c>
      <c r="BE478" s="1">
        <v>0</v>
      </c>
      <c r="BF478" s="1">
        <v>0</v>
      </c>
      <c r="BG478" s="1">
        <v>6</v>
      </c>
      <c r="BH478">
        <f>931.88+3052+95+348+312+300+45.15</f>
        <v>5084.03</v>
      </c>
      <c r="BI478" s="1">
        <v>0</v>
      </c>
      <c r="BJ478" s="1">
        <v>0</v>
      </c>
    </row>
    <row r="479" spans="1:62" x14ac:dyDescent="0.3">
      <c r="A479" s="1">
        <v>1</v>
      </c>
      <c r="B479" s="1">
        <v>478</v>
      </c>
      <c r="C479" s="1" t="s">
        <v>69</v>
      </c>
      <c r="D479">
        <v>0</v>
      </c>
      <c r="E479" s="6">
        <v>43143</v>
      </c>
      <c r="F479" s="1" t="s">
        <v>53</v>
      </c>
      <c r="G479" s="1">
        <v>1</v>
      </c>
      <c r="H479" s="1">
        <v>1</v>
      </c>
      <c r="I479" s="1">
        <v>2</v>
      </c>
      <c r="J479" s="1" t="s">
        <v>192</v>
      </c>
      <c r="K479" s="1">
        <v>21.09</v>
      </c>
      <c r="L479" s="1">
        <v>1</v>
      </c>
      <c r="M479" s="1">
        <v>1</v>
      </c>
      <c r="N479" s="1">
        <v>1</v>
      </c>
      <c r="O479" s="1">
        <v>1</v>
      </c>
      <c r="P479" s="1">
        <v>0</v>
      </c>
      <c r="Q479" s="1">
        <v>0</v>
      </c>
      <c r="R479" s="1">
        <v>1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2</v>
      </c>
      <c r="AA479">
        <v>1.61775</v>
      </c>
      <c r="AB479" s="1">
        <v>7.35</v>
      </c>
      <c r="AC479" s="1">
        <v>21</v>
      </c>
      <c r="AD479">
        <f>AB479*100/AC479</f>
        <v>35</v>
      </c>
      <c r="AK479" s="1">
        <v>58.9</v>
      </c>
      <c r="AL479" s="1">
        <v>43.3</v>
      </c>
      <c r="AM479" s="1">
        <v>15</v>
      </c>
      <c r="AQ479">
        <f>AL479/AM479</f>
        <v>2.8866666666666663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2</v>
      </c>
      <c r="BE479" s="1">
        <v>1</v>
      </c>
      <c r="BF479" s="1">
        <v>0</v>
      </c>
      <c r="BG479" s="1">
        <v>36</v>
      </c>
      <c r="BH479" s="1">
        <v>144882.35999999999</v>
      </c>
      <c r="BI479" s="1">
        <v>1</v>
      </c>
      <c r="BJ479" s="1">
        <v>1</v>
      </c>
    </row>
    <row r="480" spans="1:62" x14ac:dyDescent="0.3">
      <c r="A480" s="1">
        <v>1</v>
      </c>
      <c r="B480" s="1">
        <v>479</v>
      </c>
      <c r="C480" s="1" t="s">
        <v>54</v>
      </c>
      <c r="D480">
        <v>0</v>
      </c>
      <c r="E480" s="6">
        <v>42787</v>
      </c>
      <c r="F480" s="1" t="s">
        <v>66</v>
      </c>
      <c r="G480" s="1">
        <v>0</v>
      </c>
      <c r="H480" s="1">
        <v>1</v>
      </c>
      <c r="I480" s="1">
        <v>3</v>
      </c>
      <c r="J480" s="1" t="s">
        <v>183</v>
      </c>
      <c r="K480" s="1">
        <v>22.22</v>
      </c>
      <c r="L480" s="1">
        <v>1</v>
      </c>
      <c r="M480" s="1">
        <v>0</v>
      </c>
      <c r="N480" s="1">
        <v>1</v>
      </c>
      <c r="O480" s="1">
        <v>0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2</v>
      </c>
      <c r="AA480">
        <f>4.8*0.36</f>
        <v>1.728</v>
      </c>
      <c r="AE480" s="1">
        <v>5</v>
      </c>
      <c r="AF480" s="1">
        <v>708</v>
      </c>
      <c r="AG480" s="1">
        <v>2</v>
      </c>
      <c r="AH480" s="1">
        <v>19.100000000000001</v>
      </c>
      <c r="AI480" s="1">
        <v>5</v>
      </c>
      <c r="AJ480" s="1">
        <v>12.6</v>
      </c>
      <c r="AN480" s="1">
        <v>2906</v>
      </c>
      <c r="AO480" s="1">
        <v>975</v>
      </c>
      <c r="AP480" s="1">
        <v>183.6</v>
      </c>
      <c r="AR480" s="1">
        <v>1</v>
      </c>
      <c r="AS480" s="1">
        <v>0</v>
      </c>
      <c r="AT480" s="1">
        <v>0</v>
      </c>
      <c r="AU480" s="1">
        <v>0</v>
      </c>
      <c r="AV480" s="1">
        <v>0</v>
      </c>
      <c r="AW480" s="1">
        <v>1</v>
      </c>
      <c r="AX480" s="1">
        <v>1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2</v>
      </c>
      <c r="BE480" s="1">
        <v>1</v>
      </c>
      <c r="BF480" s="1">
        <v>0</v>
      </c>
      <c r="BG480" s="1">
        <v>34</v>
      </c>
      <c r="BH480" s="1">
        <v>145906.60999999999</v>
      </c>
      <c r="BI480" s="1">
        <v>0</v>
      </c>
      <c r="BJ480" s="1">
        <v>0</v>
      </c>
    </row>
    <row r="481" spans="1:62" x14ac:dyDescent="0.3">
      <c r="A481" s="1">
        <v>1</v>
      </c>
      <c r="B481">
        <v>480</v>
      </c>
      <c r="C481" s="1" t="s">
        <v>86</v>
      </c>
      <c r="D481">
        <v>1</v>
      </c>
      <c r="E481" s="6">
        <v>42831</v>
      </c>
      <c r="F481" s="1" t="s">
        <v>64</v>
      </c>
      <c r="G481" s="1">
        <v>0</v>
      </c>
      <c r="H481" s="1">
        <v>1</v>
      </c>
      <c r="I481" s="1">
        <v>2</v>
      </c>
      <c r="J481" s="1" t="s">
        <v>191</v>
      </c>
      <c r="K481" s="1">
        <v>20.28</v>
      </c>
      <c r="L481" s="1">
        <v>0</v>
      </c>
      <c r="M481" s="1">
        <v>1</v>
      </c>
      <c r="N481" s="1">
        <v>1</v>
      </c>
      <c r="O481" s="1">
        <v>0</v>
      </c>
      <c r="P481" s="1">
        <v>0</v>
      </c>
      <c r="Q481" s="1">
        <v>1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2</v>
      </c>
      <c r="AA481">
        <v>1.0264800000000001</v>
      </c>
      <c r="AB481" s="1">
        <v>14.6</v>
      </c>
      <c r="AC481" s="1">
        <v>21</v>
      </c>
      <c r="AD481">
        <f>AB481*100/AC481</f>
        <v>69.523809523809518</v>
      </c>
      <c r="AR481" s="1">
        <v>1</v>
      </c>
      <c r="AS481" s="1">
        <v>0</v>
      </c>
      <c r="AT481" s="1">
        <v>1</v>
      </c>
      <c r="AU481" s="1">
        <v>1</v>
      </c>
      <c r="AV481" s="1">
        <v>0</v>
      </c>
      <c r="AW481" s="1">
        <v>0</v>
      </c>
      <c r="AX481" s="1">
        <v>1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1</v>
      </c>
      <c r="BE481" s="1">
        <v>0</v>
      </c>
      <c r="BF481" s="1">
        <v>0</v>
      </c>
      <c r="BG481" s="1">
        <v>41</v>
      </c>
      <c r="BH481" s="1">
        <v>70868.39</v>
      </c>
      <c r="BI481">
        <v>1</v>
      </c>
      <c r="BJ481" s="1">
        <v>1</v>
      </c>
    </row>
    <row r="482" spans="1:62" x14ac:dyDescent="0.3">
      <c r="A482">
        <v>1</v>
      </c>
      <c r="B482" s="1">
        <v>481</v>
      </c>
      <c r="C482" t="s">
        <v>54</v>
      </c>
      <c r="D482">
        <v>0</v>
      </c>
      <c r="E482" s="2" t="s">
        <v>148</v>
      </c>
      <c r="F482" s="4" t="s">
        <v>99</v>
      </c>
      <c r="G482" s="1">
        <v>0</v>
      </c>
      <c r="H482" s="1">
        <v>0</v>
      </c>
      <c r="I482" s="1">
        <v>2</v>
      </c>
      <c r="J482" s="1" t="s">
        <v>195</v>
      </c>
      <c r="K482" s="1">
        <v>27.78</v>
      </c>
      <c r="L482" s="1">
        <v>0</v>
      </c>
      <c r="M482" s="1">
        <v>1</v>
      </c>
      <c r="N482" s="1">
        <v>1</v>
      </c>
      <c r="O482" s="1">
        <v>0</v>
      </c>
      <c r="P482" s="1">
        <v>0</v>
      </c>
      <c r="Q482" s="1">
        <v>1</v>
      </c>
      <c r="R482" s="1">
        <v>0</v>
      </c>
      <c r="S482" s="1">
        <v>0</v>
      </c>
      <c r="T482" s="1">
        <v>0</v>
      </c>
      <c r="U482" s="1">
        <v>0</v>
      </c>
      <c r="V482" s="1">
        <v>1</v>
      </c>
      <c r="W482" s="1">
        <v>0</v>
      </c>
      <c r="X482" s="1">
        <v>0</v>
      </c>
      <c r="Y482" s="1">
        <v>1</v>
      </c>
      <c r="Z482" s="1">
        <v>1</v>
      </c>
      <c r="AA482" s="1">
        <v>1.1499999999999999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1</v>
      </c>
      <c r="BE482" s="1">
        <v>0</v>
      </c>
      <c r="BF482" s="1">
        <v>0</v>
      </c>
      <c r="BG482" s="1">
        <v>11</v>
      </c>
      <c r="BH482">
        <f>1746.84+39.85+4157+304+48+14+1150+483+575</f>
        <v>8517.6899999999987</v>
      </c>
      <c r="BI482" s="1">
        <v>0</v>
      </c>
      <c r="BJ482" s="1">
        <v>0</v>
      </c>
    </row>
    <row r="483" spans="1:62" x14ac:dyDescent="0.3">
      <c r="A483" s="1">
        <v>1</v>
      </c>
      <c r="B483">
        <v>482</v>
      </c>
      <c r="C483" s="1" t="s">
        <v>54</v>
      </c>
      <c r="D483">
        <v>0</v>
      </c>
      <c r="E483" s="6">
        <v>42745</v>
      </c>
      <c r="F483" s="1" t="s">
        <v>81</v>
      </c>
      <c r="G483" s="1">
        <v>0</v>
      </c>
      <c r="H483" s="1">
        <v>0</v>
      </c>
      <c r="I483" s="1">
        <v>3</v>
      </c>
      <c r="J483" s="1" t="s">
        <v>186</v>
      </c>
      <c r="K483" s="1">
        <v>26.99</v>
      </c>
      <c r="L483" s="1">
        <v>1</v>
      </c>
      <c r="M483" s="1">
        <v>1</v>
      </c>
      <c r="N483" s="1">
        <v>1</v>
      </c>
      <c r="O483" s="1">
        <v>0</v>
      </c>
      <c r="P483" s="1">
        <v>1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1</v>
      </c>
      <c r="Z483" s="1">
        <v>1</v>
      </c>
      <c r="AA483">
        <v>2.7370000000000001</v>
      </c>
      <c r="AE483" s="1">
        <v>5</v>
      </c>
      <c r="AF483" s="1">
        <v>5367</v>
      </c>
      <c r="AG483" s="1">
        <v>337</v>
      </c>
      <c r="AH483" s="1">
        <v>126</v>
      </c>
      <c r="AI483" s="1">
        <v>11.8</v>
      </c>
      <c r="AJ483" s="1">
        <v>31.6</v>
      </c>
      <c r="AK483" s="1">
        <v>73.099999999999994</v>
      </c>
      <c r="AL483" s="1">
        <v>62.8</v>
      </c>
      <c r="AM483" s="1">
        <v>10.1</v>
      </c>
      <c r="AN483" s="1">
        <v>1155</v>
      </c>
      <c r="AO483" s="1">
        <v>992</v>
      </c>
      <c r="AP483" s="1">
        <v>160</v>
      </c>
      <c r="AQ483">
        <f>AL483/AM483</f>
        <v>6.217821782178218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1</v>
      </c>
      <c r="BE483" s="1">
        <v>1</v>
      </c>
      <c r="BF483" s="1">
        <v>0</v>
      </c>
      <c r="BG483" s="1">
        <v>35</v>
      </c>
      <c r="BH483" s="1">
        <v>151872.66</v>
      </c>
      <c r="BI483" s="1">
        <v>0</v>
      </c>
      <c r="BJ483" s="1">
        <v>1</v>
      </c>
    </row>
    <row r="484" spans="1:62" x14ac:dyDescent="0.3">
      <c r="A484" s="1">
        <v>2</v>
      </c>
      <c r="B484" s="1">
        <v>483</v>
      </c>
      <c r="C484" s="1" t="s">
        <v>71</v>
      </c>
      <c r="D484">
        <v>0</v>
      </c>
      <c r="E484" s="6">
        <v>43108</v>
      </c>
      <c r="F484" s="1" t="s">
        <v>121</v>
      </c>
      <c r="G484" s="1">
        <v>0</v>
      </c>
      <c r="H484" s="1">
        <v>0</v>
      </c>
      <c r="I484" s="1">
        <v>2</v>
      </c>
      <c r="J484" s="1" t="s">
        <v>194</v>
      </c>
      <c r="K484" s="1">
        <v>28.73</v>
      </c>
      <c r="L484" s="1">
        <v>0</v>
      </c>
      <c r="M484" s="1">
        <v>1</v>
      </c>
      <c r="N484" s="1">
        <v>1</v>
      </c>
      <c r="O484" s="1">
        <v>0</v>
      </c>
      <c r="P484" s="1">
        <v>1</v>
      </c>
      <c r="Q484" s="1">
        <v>1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2</v>
      </c>
      <c r="AA484">
        <v>1.5789900000000001</v>
      </c>
      <c r="AB484" s="1">
        <v>9.7899999999999991</v>
      </c>
      <c r="AC484" s="1">
        <v>21</v>
      </c>
      <c r="AD484">
        <f>AB484*100/AC484</f>
        <v>46.619047619047613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 s="1">
        <v>2</v>
      </c>
      <c r="BE484" s="1">
        <v>0</v>
      </c>
      <c r="BF484" s="1">
        <v>0</v>
      </c>
      <c r="BG484" s="1">
        <v>18</v>
      </c>
      <c r="BH484" s="1">
        <v>10480.879999999999</v>
      </c>
      <c r="BI484" s="1">
        <v>1</v>
      </c>
      <c r="BJ484" s="1">
        <v>0</v>
      </c>
    </row>
    <row r="485" spans="1:62" x14ac:dyDescent="0.3">
      <c r="A485">
        <v>1</v>
      </c>
      <c r="B485" s="1">
        <v>484</v>
      </c>
      <c r="C485" t="s">
        <v>54</v>
      </c>
      <c r="D485">
        <v>0</v>
      </c>
      <c r="E485" s="2" t="s">
        <v>151</v>
      </c>
      <c r="F485" s="4" t="s">
        <v>95</v>
      </c>
      <c r="G485" s="1">
        <v>0</v>
      </c>
      <c r="H485" s="1">
        <v>1</v>
      </c>
      <c r="I485" s="1">
        <v>2</v>
      </c>
      <c r="J485" s="1" t="s">
        <v>191</v>
      </c>
      <c r="K485" s="1">
        <v>18.82</v>
      </c>
      <c r="L485" s="1">
        <v>0</v>
      </c>
      <c r="M485" s="1">
        <v>1</v>
      </c>
      <c r="N485" s="1">
        <v>1</v>
      </c>
      <c r="O485" s="1">
        <v>0</v>
      </c>
      <c r="P485" s="1">
        <v>1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1</v>
      </c>
      <c r="AA485">
        <f>3.01*0.82</f>
        <v>2.4681999999999995</v>
      </c>
      <c r="AE485">
        <v>5</v>
      </c>
      <c r="AF485">
        <v>4852</v>
      </c>
      <c r="AG485">
        <v>13.1</v>
      </c>
      <c r="AH485">
        <v>108</v>
      </c>
      <c r="AI485">
        <v>17.100000000000001</v>
      </c>
      <c r="AJ485">
        <v>39.5</v>
      </c>
      <c r="AK485">
        <v>54.6</v>
      </c>
      <c r="AL485">
        <v>41.7</v>
      </c>
      <c r="AM485">
        <v>11</v>
      </c>
      <c r="AN485">
        <v>2020</v>
      </c>
      <c r="AO485">
        <v>1543</v>
      </c>
      <c r="AP485">
        <v>407</v>
      </c>
      <c r="AQ485">
        <f t="shared" ref="AQ485:AQ495" si="16">AL485/AM485</f>
        <v>3.790909090909091</v>
      </c>
      <c r="AR485">
        <v>1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1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 s="1">
        <v>0</v>
      </c>
      <c r="BF485" s="1">
        <v>0</v>
      </c>
      <c r="BG485" s="1">
        <v>32</v>
      </c>
      <c r="BH485">
        <f>109202.7+26270+19952</f>
        <v>155424.70000000001</v>
      </c>
      <c r="BI485" s="1">
        <v>0</v>
      </c>
      <c r="BJ485" s="1">
        <v>1</v>
      </c>
    </row>
    <row r="486" spans="1:62" x14ac:dyDescent="0.3">
      <c r="A486" s="1">
        <v>1</v>
      </c>
      <c r="B486">
        <v>485</v>
      </c>
      <c r="C486" s="1" t="s">
        <v>89</v>
      </c>
      <c r="D486">
        <v>1</v>
      </c>
      <c r="E486" s="6">
        <v>42838</v>
      </c>
      <c r="F486" s="1" t="s">
        <v>52</v>
      </c>
      <c r="G486" s="1">
        <v>1</v>
      </c>
      <c r="H486" s="1">
        <v>1</v>
      </c>
      <c r="I486" s="1">
        <v>3</v>
      </c>
      <c r="J486" s="1" t="s">
        <v>186</v>
      </c>
      <c r="K486" s="1">
        <v>24.22</v>
      </c>
      <c r="L486" s="1">
        <v>0</v>
      </c>
      <c r="M486" s="1">
        <v>1</v>
      </c>
      <c r="N486" s="1">
        <v>1</v>
      </c>
      <c r="O486" s="1">
        <v>0</v>
      </c>
      <c r="P486" s="1">
        <v>1</v>
      </c>
      <c r="Q486" s="1">
        <v>0</v>
      </c>
      <c r="R486" s="1">
        <v>1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2</v>
      </c>
      <c r="AA486" s="1">
        <v>1.1399999999999999</v>
      </c>
      <c r="AB486" s="1">
        <v>16.440000000000001</v>
      </c>
      <c r="AC486" s="1">
        <v>33</v>
      </c>
      <c r="AD486">
        <f>AB486*100/AC486</f>
        <v>49.818181818181827</v>
      </c>
      <c r="AE486" s="1">
        <v>32.4</v>
      </c>
      <c r="AF486" s="1">
        <v>4337</v>
      </c>
      <c r="AG486" s="1">
        <v>1000</v>
      </c>
      <c r="AH486" s="1">
        <v>1021</v>
      </c>
      <c r="AI486" s="1">
        <v>53.9</v>
      </c>
      <c r="AJ486" s="1">
        <v>29.1</v>
      </c>
      <c r="AK486" s="1">
        <v>73.2</v>
      </c>
      <c r="AL486" s="1">
        <v>40</v>
      </c>
      <c r="AM486" s="1">
        <v>31.9</v>
      </c>
      <c r="AN486" s="1">
        <v>168</v>
      </c>
      <c r="AO486" s="1">
        <v>92</v>
      </c>
      <c r="AP486" s="1">
        <v>73</v>
      </c>
      <c r="AQ486">
        <f t="shared" si="16"/>
        <v>1.2539184952978057</v>
      </c>
      <c r="AR486" s="1">
        <v>1</v>
      </c>
      <c r="AS486" s="1">
        <v>0</v>
      </c>
      <c r="AT486" s="1">
        <v>1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1</v>
      </c>
      <c r="BE486" s="1">
        <v>0</v>
      </c>
      <c r="BF486" s="1">
        <v>1</v>
      </c>
      <c r="BG486" s="1">
        <v>24</v>
      </c>
      <c r="BH486" s="1">
        <v>157690.97</v>
      </c>
      <c r="BI486" s="1">
        <v>0</v>
      </c>
      <c r="BJ486" s="1">
        <v>1</v>
      </c>
    </row>
    <row r="487" spans="1:62" x14ac:dyDescent="0.3">
      <c r="A487">
        <v>1</v>
      </c>
      <c r="B487" s="1">
        <v>486</v>
      </c>
      <c r="C487" t="s">
        <v>69</v>
      </c>
      <c r="D487">
        <v>0</v>
      </c>
      <c r="E487" s="2">
        <v>43493</v>
      </c>
      <c r="F487" t="s">
        <v>132</v>
      </c>
      <c r="G487" s="1">
        <v>0</v>
      </c>
      <c r="H487" s="1">
        <v>0</v>
      </c>
      <c r="I487" s="1">
        <v>2</v>
      </c>
      <c r="J487" s="1" t="s">
        <v>191</v>
      </c>
      <c r="K487" s="1">
        <v>20.81</v>
      </c>
      <c r="L487" s="1">
        <v>0</v>
      </c>
      <c r="M487" s="1">
        <v>0</v>
      </c>
      <c r="N487" s="1">
        <v>0</v>
      </c>
      <c r="O487" s="1">
        <v>0</v>
      </c>
      <c r="P487" s="1">
        <v>1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1</v>
      </c>
      <c r="Z487" s="1">
        <v>1</v>
      </c>
      <c r="AA487" s="1">
        <v>0.7</v>
      </c>
      <c r="AE487">
        <v>5</v>
      </c>
      <c r="AF487">
        <v>433</v>
      </c>
      <c r="AG487">
        <v>2.68</v>
      </c>
      <c r="AH487">
        <v>19.7</v>
      </c>
      <c r="AI487">
        <v>5</v>
      </c>
      <c r="AJ487">
        <v>4</v>
      </c>
      <c r="AK487">
        <v>63</v>
      </c>
      <c r="AL487">
        <v>32.799999999999997</v>
      </c>
      <c r="AM487">
        <v>29.2</v>
      </c>
      <c r="AN487">
        <v>441</v>
      </c>
      <c r="AO487">
        <v>230</v>
      </c>
      <c r="AP487">
        <v>204</v>
      </c>
      <c r="AQ487">
        <f t="shared" si="16"/>
        <v>1.1232876712328765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2</v>
      </c>
      <c r="BE487" s="1">
        <v>0</v>
      </c>
      <c r="BF487" s="1">
        <v>0</v>
      </c>
      <c r="BG487" s="1">
        <v>48</v>
      </c>
      <c r="BH487">
        <f>130129+462.96+33039+1144+70+1251</f>
        <v>166095.96000000002</v>
      </c>
      <c r="BI487" s="1">
        <v>0</v>
      </c>
      <c r="BJ487" s="1">
        <v>1</v>
      </c>
    </row>
    <row r="488" spans="1:62" x14ac:dyDescent="0.3">
      <c r="A488">
        <v>1</v>
      </c>
      <c r="B488">
        <v>487</v>
      </c>
      <c r="C488" s="1" t="s">
        <v>125</v>
      </c>
      <c r="D488">
        <v>1</v>
      </c>
      <c r="E488" s="2">
        <v>43482</v>
      </c>
      <c r="F488" t="s">
        <v>53</v>
      </c>
      <c r="G488" s="1">
        <v>0</v>
      </c>
      <c r="H488" s="1">
        <v>1</v>
      </c>
      <c r="I488" s="1">
        <v>3</v>
      </c>
      <c r="J488" s="1" t="s">
        <v>183</v>
      </c>
      <c r="K488" s="1">
        <v>16.260000000000002</v>
      </c>
      <c r="L488" s="1">
        <v>1</v>
      </c>
      <c r="M488" s="1">
        <v>1</v>
      </c>
      <c r="N488" s="1">
        <v>1</v>
      </c>
      <c r="O488" s="1">
        <v>1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2</v>
      </c>
      <c r="AA488" s="1">
        <v>0.57999999999999996</v>
      </c>
      <c r="AB488" s="1">
        <v>8.1999999999999993</v>
      </c>
      <c r="AC488" s="1">
        <v>41</v>
      </c>
      <c r="AD488">
        <f>AB488*100/AC488</f>
        <v>19.999999999999996</v>
      </c>
      <c r="AE488" s="1">
        <v>11.3</v>
      </c>
      <c r="AF488" s="1">
        <v>5231</v>
      </c>
      <c r="AG488" s="1">
        <v>678</v>
      </c>
      <c r="AH488" s="1">
        <v>169</v>
      </c>
      <c r="AI488" s="1">
        <v>16.600000000000001</v>
      </c>
      <c r="AJ488" s="1">
        <v>50.7</v>
      </c>
      <c r="AK488">
        <v>71.8</v>
      </c>
      <c r="AL488">
        <v>53.4</v>
      </c>
      <c r="AM488">
        <v>15.8</v>
      </c>
      <c r="AQ488">
        <f t="shared" si="16"/>
        <v>3.3797468354430378</v>
      </c>
      <c r="AR488">
        <v>1</v>
      </c>
      <c r="AS488">
        <v>1</v>
      </c>
      <c r="AT488">
        <v>1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1</v>
      </c>
      <c r="BD488">
        <v>2</v>
      </c>
      <c r="BE488" s="1">
        <v>2</v>
      </c>
      <c r="BF488" s="1">
        <v>1</v>
      </c>
      <c r="BG488" s="1">
        <v>56</v>
      </c>
      <c r="BH488">
        <f>79546.91+392.96+32305+5337+1260+19316+970+642+4279+19800+2870+4355.51</f>
        <v>171074.38</v>
      </c>
      <c r="BI488" s="1">
        <v>0</v>
      </c>
      <c r="BJ488" s="1">
        <v>1</v>
      </c>
    </row>
    <row r="489" spans="1:62" x14ac:dyDescent="0.3">
      <c r="A489" s="1">
        <v>1</v>
      </c>
      <c r="B489" s="1">
        <v>488</v>
      </c>
      <c r="C489" s="1" t="s">
        <v>51</v>
      </c>
      <c r="D489">
        <v>0</v>
      </c>
      <c r="E489" s="6">
        <v>42985</v>
      </c>
      <c r="F489" s="1" t="s">
        <v>85</v>
      </c>
      <c r="G489" s="1">
        <v>0</v>
      </c>
      <c r="H489" s="1">
        <v>0</v>
      </c>
      <c r="I489" s="1">
        <v>2</v>
      </c>
      <c r="J489" s="1" t="s">
        <v>191</v>
      </c>
      <c r="K489" s="1">
        <v>20.079999999999998</v>
      </c>
      <c r="L489" s="1">
        <v>0</v>
      </c>
      <c r="M489" s="1">
        <v>0</v>
      </c>
      <c r="N489" s="1">
        <v>1</v>
      </c>
      <c r="O489" s="1">
        <v>0</v>
      </c>
      <c r="P489" s="1">
        <v>0</v>
      </c>
      <c r="Q489" s="1">
        <v>1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1</v>
      </c>
      <c r="Y489" s="1">
        <v>0</v>
      </c>
      <c r="Z489" s="1">
        <v>1</v>
      </c>
      <c r="AA489">
        <v>2.3531999999999997</v>
      </c>
      <c r="AK489" s="1">
        <v>83.9</v>
      </c>
      <c r="AL489" s="1">
        <v>46.4</v>
      </c>
      <c r="AM489" s="1">
        <v>33.299999999999997</v>
      </c>
      <c r="AN489" s="1">
        <v>2030</v>
      </c>
      <c r="AO489" s="1">
        <v>1123</v>
      </c>
      <c r="AP489" s="1">
        <v>806</v>
      </c>
      <c r="AQ489">
        <f t="shared" si="16"/>
        <v>1.3933933933933935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v>0</v>
      </c>
      <c r="BG489" s="1">
        <v>5</v>
      </c>
      <c r="BH489" s="1">
        <v>7947.2</v>
      </c>
      <c r="BI489" s="1">
        <v>0</v>
      </c>
      <c r="BJ489" s="1">
        <v>0</v>
      </c>
    </row>
    <row r="490" spans="1:62" x14ac:dyDescent="0.3">
      <c r="A490" s="1">
        <v>1</v>
      </c>
      <c r="B490" s="1">
        <v>489</v>
      </c>
      <c r="C490" s="1" t="s">
        <v>60</v>
      </c>
      <c r="D490">
        <v>0</v>
      </c>
      <c r="E490" s="6">
        <v>42232</v>
      </c>
      <c r="F490" s="1" t="s">
        <v>52</v>
      </c>
      <c r="G490" s="1">
        <v>1</v>
      </c>
      <c r="H490" s="1">
        <v>1</v>
      </c>
      <c r="I490" s="1">
        <v>2</v>
      </c>
      <c r="J490" s="1" t="s">
        <v>195</v>
      </c>
      <c r="K490" s="1">
        <v>21.72</v>
      </c>
      <c r="L490" s="1">
        <v>2</v>
      </c>
      <c r="M490" s="1">
        <v>1</v>
      </c>
      <c r="N490" s="1">
        <v>1</v>
      </c>
      <c r="O490" s="1">
        <v>1</v>
      </c>
      <c r="P490" s="1">
        <v>1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1</v>
      </c>
      <c r="Z490" s="1">
        <v>2</v>
      </c>
      <c r="AA490">
        <v>0.53637999999999997</v>
      </c>
      <c r="AB490" s="1">
        <v>10.51</v>
      </c>
      <c r="AC490" s="1">
        <v>60</v>
      </c>
      <c r="AD490">
        <f>AB490*100/AC490</f>
        <v>17.516666666666666</v>
      </c>
      <c r="AE490" s="1">
        <v>5</v>
      </c>
      <c r="AF490" s="1">
        <v>1353</v>
      </c>
      <c r="AG490" s="1">
        <v>55.7</v>
      </c>
      <c r="AH490" s="1">
        <v>33.1</v>
      </c>
      <c r="AI490" s="1">
        <v>8.82</v>
      </c>
      <c r="AJ490" s="1">
        <v>9.2200000000000006</v>
      </c>
      <c r="AK490" s="1">
        <v>80.3</v>
      </c>
      <c r="AL490" s="1">
        <v>57.5</v>
      </c>
      <c r="AM490" s="1">
        <v>21.8</v>
      </c>
      <c r="AQ490">
        <f t="shared" si="16"/>
        <v>2.6376146788990824</v>
      </c>
      <c r="AR490">
        <v>1</v>
      </c>
      <c r="AS490">
        <v>1</v>
      </c>
      <c r="AT490">
        <v>0</v>
      </c>
      <c r="AU490">
        <v>1</v>
      </c>
      <c r="AV490">
        <v>1</v>
      </c>
      <c r="AW490">
        <v>0</v>
      </c>
      <c r="AX490">
        <v>1</v>
      </c>
      <c r="AY490">
        <v>1</v>
      </c>
      <c r="AZ490">
        <v>0</v>
      </c>
      <c r="BA490">
        <v>0</v>
      </c>
      <c r="BB490">
        <v>0</v>
      </c>
      <c r="BC490">
        <v>0</v>
      </c>
      <c r="BD490" s="1">
        <v>3</v>
      </c>
      <c r="BE490" s="1">
        <v>2</v>
      </c>
      <c r="BF490" s="1">
        <v>1</v>
      </c>
      <c r="BG490" s="1">
        <v>90</v>
      </c>
      <c r="BH490" s="1">
        <v>182465</v>
      </c>
      <c r="BI490" s="1">
        <v>1</v>
      </c>
      <c r="BJ490" s="1">
        <v>1</v>
      </c>
    </row>
    <row r="491" spans="1:62" x14ac:dyDescent="0.3">
      <c r="A491" s="1">
        <v>1</v>
      </c>
      <c r="B491">
        <v>490</v>
      </c>
      <c r="C491" s="1" t="s">
        <v>60</v>
      </c>
      <c r="D491">
        <v>0</v>
      </c>
      <c r="E491" s="6">
        <v>42997</v>
      </c>
      <c r="F491" s="1" t="s">
        <v>121</v>
      </c>
      <c r="G491" s="1">
        <v>0</v>
      </c>
      <c r="H491" s="1">
        <v>0</v>
      </c>
      <c r="I491" s="1">
        <v>2</v>
      </c>
      <c r="J491" s="1" t="s">
        <v>196</v>
      </c>
      <c r="K491" s="1">
        <v>24.06</v>
      </c>
      <c r="L491" s="1">
        <v>0</v>
      </c>
      <c r="M491" s="1">
        <v>1</v>
      </c>
      <c r="N491" s="1">
        <v>0</v>
      </c>
      <c r="O491" s="1">
        <v>0</v>
      </c>
      <c r="P491" s="1">
        <v>1</v>
      </c>
      <c r="Q491" s="1">
        <v>1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1</v>
      </c>
      <c r="X491" s="1">
        <v>0</v>
      </c>
      <c r="Y491" s="1">
        <v>0</v>
      </c>
      <c r="Z491" s="1">
        <v>2</v>
      </c>
      <c r="AA491" s="1">
        <v>0.61</v>
      </c>
      <c r="AK491">
        <v>48.2</v>
      </c>
      <c r="AL491">
        <v>31.4</v>
      </c>
      <c r="AM491">
        <v>13.1</v>
      </c>
      <c r="AQ491">
        <f t="shared" si="16"/>
        <v>2.396946564885496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 s="1">
        <v>1</v>
      </c>
      <c r="BE491" s="1">
        <v>0</v>
      </c>
      <c r="BF491" s="1">
        <v>0</v>
      </c>
      <c r="BG491" s="1">
        <v>4</v>
      </c>
      <c r="BH491">
        <f>1662.71+418.65+3989+420+42+350+98+87.5</f>
        <v>7067.8600000000006</v>
      </c>
      <c r="BI491" s="1">
        <v>0</v>
      </c>
      <c r="BJ491" s="1">
        <v>0</v>
      </c>
    </row>
    <row r="492" spans="1:62" x14ac:dyDescent="0.3">
      <c r="A492" s="1">
        <v>1</v>
      </c>
      <c r="B492" s="1">
        <v>491</v>
      </c>
      <c r="C492" s="1" t="s">
        <v>54</v>
      </c>
      <c r="D492">
        <v>1</v>
      </c>
      <c r="E492" s="6">
        <v>42725</v>
      </c>
      <c r="F492" s="1" t="s">
        <v>70</v>
      </c>
      <c r="G492" s="1">
        <v>1</v>
      </c>
      <c r="H492" s="1">
        <v>1</v>
      </c>
      <c r="I492" s="1">
        <v>2</v>
      </c>
      <c r="J492" s="1" t="s">
        <v>192</v>
      </c>
      <c r="K492" s="1">
        <v>22.31</v>
      </c>
      <c r="L492" s="1">
        <v>1</v>
      </c>
      <c r="M492" s="1">
        <v>1</v>
      </c>
      <c r="N492" s="1">
        <v>0</v>
      </c>
      <c r="O492" s="1">
        <v>1</v>
      </c>
      <c r="P492" s="1">
        <v>1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2</v>
      </c>
      <c r="AA492">
        <v>0.55160999999999993</v>
      </c>
      <c r="AB492" s="1">
        <v>8.49</v>
      </c>
      <c r="AC492" s="1">
        <v>33</v>
      </c>
      <c r="AD492">
        <f>AB492*100/AC492</f>
        <v>25.727272727272727</v>
      </c>
      <c r="AK492" s="1">
        <v>38.9</v>
      </c>
      <c r="AL492" s="1">
        <v>32.299999999999997</v>
      </c>
      <c r="AM492" s="1">
        <v>6.5</v>
      </c>
      <c r="AN492" s="1">
        <v>202</v>
      </c>
      <c r="AO492" s="1">
        <v>168</v>
      </c>
      <c r="AP492" s="1">
        <v>34</v>
      </c>
      <c r="AQ492">
        <f t="shared" si="16"/>
        <v>4.9692307692307685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1</v>
      </c>
      <c r="BC492" s="1">
        <v>0</v>
      </c>
      <c r="BD492" s="1">
        <v>2</v>
      </c>
      <c r="BE492" s="1">
        <v>2</v>
      </c>
      <c r="BF492" s="1">
        <v>1</v>
      </c>
      <c r="BG492" s="1">
        <v>20</v>
      </c>
      <c r="BH492" s="1">
        <v>191722.5</v>
      </c>
      <c r="BI492" s="1">
        <v>0</v>
      </c>
      <c r="BJ492" s="1">
        <v>1</v>
      </c>
    </row>
    <row r="493" spans="1:62" x14ac:dyDescent="0.3">
      <c r="A493" s="1">
        <v>1</v>
      </c>
      <c r="B493">
        <v>492</v>
      </c>
      <c r="C493" s="1" t="s">
        <v>79</v>
      </c>
      <c r="D493">
        <v>1</v>
      </c>
      <c r="E493" s="6">
        <v>42725</v>
      </c>
      <c r="F493" s="1" t="s">
        <v>70</v>
      </c>
      <c r="G493" s="1">
        <v>1</v>
      </c>
      <c r="H493" s="1">
        <v>1</v>
      </c>
      <c r="I493" s="1">
        <v>2</v>
      </c>
      <c r="J493" s="1" t="s">
        <v>192</v>
      </c>
      <c r="K493" s="1">
        <v>22.31</v>
      </c>
      <c r="L493" s="1">
        <v>1</v>
      </c>
      <c r="M493" s="1">
        <v>1</v>
      </c>
      <c r="N493" s="1">
        <v>0</v>
      </c>
      <c r="O493" s="1">
        <v>1</v>
      </c>
      <c r="P493" s="1">
        <v>1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2</v>
      </c>
      <c r="AA493">
        <v>0.55160999999999993</v>
      </c>
      <c r="AB493" s="1">
        <v>8.49</v>
      </c>
      <c r="AC493" s="1">
        <v>33</v>
      </c>
      <c r="AD493">
        <f>AB493*100/AC493</f>
        <v>25.727272727272727</v>
      </c>
      <c r="AK493" s="1">
        <v>38.9</v>
      </c>
      <c r="AL493" s="1">
        <v>32.299999999999997</v>
      </c>
      <c r="AM493" s="1">
        <v>6.5</v>
      </c>
      <c r="AN493" s="1">
        <v>202</v>
      </c>
      <c r="AO493" s="1">
        <v>168</v>
      </c>
      <c r="AP493" s="1">
        <v>34</v>
      </c>
      <c r="AQ493">
        <f t="shared" si="16"/>
        <v>4.9692307692307685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2</v>
      </c>
      <c r="BE493" s="1">
        <v>2</v>
      </c>
      <c r="BF493" s="1">
        <v>1</v>
      </c>
      <c r="BG493" s="1">
        <v>20</v>
      </c>
      <c r="BH493" s="1">
        <v>191722.5</v>
      </c>
      <c r="BI493" s="1">
        <v>0</v>
      </c>
      <c r="BJ493" s="1">
        <v>1</v>
      </c>
    </row>
    <row r="494" spans="1:62" x14ac:dyDescent="0.3">
      <c r="A494">
        <v>1</v>
      </c>
      <c r="B494" s="1">
        <v>493</v>
      </c>
      <c r="C494" t="s">
        <v>60</v>
      </c>
      <c r="D494">
        <v>0</v>
      </c>
      <c r="E494" s="2" t="s">
        <v>162</v>
      </c>
      <c r="F494" s="4" t="s">
        <v>70</v>
      </c>
      <c r="G494" s="1">
        <v>1</v>
      </c>
      <c r="H494" s="1">
        <v>1</v>
      </c>
      <c r="I494" s="1">
        <v>2</v>
      </c>
      <c r="J494" s="1" t="s">
        <v>192</v>
      </c>
      <c r="K494" s="1">
        <v>22.31</v>
      </c>
      <c r="L494" s="1">
        <v>1</v>
      </c>
      <c r="M494" s="1">
        <v>1</v>
      </c>
      <c r="N494" s="1">
        <v>0</v>
      </c>
      <c r="O494" s="1">
        <v>1</v>
      </c>
      <c r="P494" s="1">
        <v>1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2</v>
      </c>
      <c r="AA494" s="1">
        <v>0.56000000000000005</v>
      </c>
      <c r="AB494" s="1">
        <v>8.08</v>
      </c>
      <c r="AC494" s="1">
        <v>33</v>
      </c>
      <c r="AD494">
        <f>AB494*100/AC494</f>
        <v>24.484848484848484</v>
      </c>
      <c r="AK494">
        <v>38.9</v>
      </c>
      <c r="AL494">
        <v>32.299999999999997</v>
      </c>
      <c r="AM494">
        <v>6.5</v>
      </c>
      <c r="AN494">
        <v>202</v>
      </c>
      <c r="AO494">
        <v>168</v>
      </c>
      <c r="AP494">
        <v>34</v>
      </c>
      <c r="AQ494">
        <f t="shared" si="16"/>
        <v>4.9692307692307685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1</v>
      </c>
      <c r="BC494">
        <v>0</v>
      </c>
      <c r="BD494">
        <v>1</v>
      </c>
      <c r="BE494" s="1">
        <v>2</v>
      </c>
      <c r="BF494" s="1">
        <v>1</v>
      </c>
      <c r="BG494" s="1">
        <v>20</v>
      </c>
      <c r="BH494">
        <f>79629.31+37864+7059+1540+27884+1185+3600+1576+4860+1668+75+24782.19</f>
        <v>191722.5</v>
      </c>
      <c r="BI494" s="1">
        <v>0</v>
      </c>
      <c r="BJ494" s="1">
        <v>1</v>
      </c>
    </row>
    <row r="495" spans="1:62" x14ac:dyDescent="0.3">
      <c r="A495" s="1">
        <v>1</v>
      </c>
      <c r="B495" s="1">
        <v>494</v>
      </c>
      <c r="C495" s="1" t="s">
        <v>60</v>
      </c>
      <c r="D495">
        <v>0</v>
      </c>
      <c r="E495" s="6">
        <v>43091</v>
      </c>
      <c r="F495" s="1" t="s">
        <v>88</v>
      </c>
      <c r="G495" s="1">
        <v>0</v>
      </c>
      <c r="H495" s="1">
        <v>1</v>
      </c>
      <c r="I495" s="1">
        <v>3</v>
      </c>
      <c r="J495" s="1" t="s">
        <v>191</v>
      </c>
      <c r="K495" s="1">
        <v>26.33</v>
      </c>
      <c r="L495" s="1">
        <v>1</v>
      </c>
      <c r="M495" s="1">
        <v>0</v>
      </c>
      <c r="N495" s="1">
        <v>0</v>
      </c>
      <c r="O495" s="1">
        <v>0</v>
      </c>
      <c r="P495" s="1">
        <v>1</v>
      </c>
      <c r="Q495" s="1">
        <v>1</v>
      </c>
      <c r="R495" s="1">
        <v>0</v>
      </c>
      <c r="S495" s="1">
        <v>0</v>
      </c>
      <c r="T495" s="1">
        <v>0</v>
      </c>
      <c r="U495" s="1">
        <v>0</v>
      </c>
      <c r="V495" s="1">
        <v>1</v>
      </c>
      <c r="W495" s="1">
        <v>0</v>
      </c>
      <c r="X495" s="1">
        <v>0</v>
      </c>
      <c r="Y495" s="1">
        <v>0</v>
      </c>
      <c r="Z495" s="1">
        <v>2</v>
      </c>
      <c r="AA495">
        <v>1.11649</v>
      </c>
      <c r="AB495" s="1">
        <v>12.15</v>
      </c>
      <c r="AC495" s="1">
        <v>41</v>
      </c>
      <c r="AD495">
        <f>AB495*100/AC495</f>
        <v>29.634146341463413</v>
      </c>
      <c r="AK495">
        <v>65.099999999999994</v>
      </c>
      <c r="AL495">
        <v>38.1</v>
      </c>
      <c r="AM495">
        <v>26.6</v>
      </c>
      <c r="AQ495">
        <f t="shared" si="16"/>
        <v>1.4323308270676691</v>
      </c>
      <c r="AR495">
        <v>1</v>
      </c>
      <c r="AS495">
        <v>0</v>
      </c>
      <c r="AT495">
        <v>1</v>
      </c>
      <c r="AU495">
        <v>0</v>
      </c>
      <c r="AV495">
        <v>0</v>
      </c>
      <c r="AW495">
        <v>1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 s="1">
        <v>1</v>
      </c>
      <c r="BE495" s="1">
        <v>0</v>
      </c>
      <c r="BF495" s="1">
        <v>0</v>
      </c>
      <c r="BG495" s="1">
        <v>65</v>
      </c>
      <c r="BH495">
        <f>67024.63+75.38+1275+77377+15243+560+5245+10254</f>
        <v>177054.01</v>
      </c>
      <c r="BI495" s="1">
        <v>1</v>
      </c>
      <c r="BJ495" s="1">
        <v>0</v>
      </c>
    </row>
    <row r="496" spans="1:62" x14ac:dyDescent="0.3">
      <c r="A496" s="1">
        <v>1</v>
      </c>
      <c r="B496">
        <v>495</v>
      </c>
      <c r="C496" s="1" t="s">
        <v>87</v>
      </c>
      <c r="D496">
        <v>0</v>
      </c>
      <c r="E496" s="6">
        <v>42977</v>
      </c>
      <c r="F496" s="1" t="s">
        <v>88</v>
      </c>
      <c r="G496" s="1">
        <v>0</v>
      </c>
      <c r="H496" s="1">
        <v>0</v>
      </c>
      <c r="I496" s="1">
        <v>2</v>
      </c>
      <c r="J496" s="1" t="s">
        <v>195</v>
      </c>
      <c r="K496" s="1">
        <v>24.45</v>
      </c>
      <c r="L496" s="1">
        <v>0</v>
      </c>
      <c r="M496" s="1">
        <v>1</v>
      </c>
      <c r="N496" s="1">
        <v>1</v>
      </c>
      <c r="O496" s="1">
        <v>0</v>
      </c>
      <c r="P496" s="1">
        <v>1</v>
      </c>
      <c r="Q496" s="1">
        <v>1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2</v>
      </c>
      <c r="AA496">
        <v>1.0921799999999999</v>
      </c>
      <c r="AR496" s="1">
        <v>1</v>
      </c>
      <c r="AS496" s="1">
        <v>1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2</v>
      </c>
      <c r="BE496" s="1">
        <v>0</v>
      </c>
      <c r="BF496" s="1">
        <v>0</v>
      </c>
      <c r="BG496" s="1">
        <v>28</v>
      </c>
      <c r="BH496" s="1">
        <v>25131.3</v>
      </c>
      <c r="BI496" s="1">
        <v>1</v>
      </c>
      <c r="BJ496" s="1">
        <v>0</v>
      </c>
    </row>
    <row r="497" spans="1:62" x14ac:dyDescent="0.3">
      <c r="A497" s="1">
        <v>1</v>
      </c>
      <c r="B497" s="1">
        <v>496</v>
      </c>
      <c r="C497" s="1" t="s">
        <v>87</v>
      </c>
      <c r="D497">
        <v>0</v>
      </c>
      <c r="E497" s="6">
        <v>42977</v>
      </c>
      <c r="F497" s="1" t="s">
        <v>88</v>
      </c>
      <c r="G497" s="1">
        <v>0</v>
      </c>
      <c r="H497" s="1">
        <v>0</v>
      </c>
      <c r="I497" s="1">
        <v>2</v>
      </c>
      <c r="J497" s="1" t="s">
        <v>195</v>
      </c>
      <c r="K497" s="1">
        <v>24.45</v>
      </c>
      <c r="L497" s="1">
        <v>0</v>
      </c>
      <c r="M497" s="1">
        <v>1</v>
      </c>
      <c r="N497" s="1">
        <v>1</v>
      </c>
      <c r="O497" s="1">
        <v>0</v>
      </c>
      <c r="P497" s="1">
        <v>1</v>
      </c>
      <c r="Q497" s="1">
        <v>1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2</v>
      </c>
      <c r="AA497">
        <v>1.0921799999999999</v>
      </c>
      <c r="AR497">
        <v>1</v>
      </c>
      <c r="AS497">
        <v>1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 s="1">
        <v>2</v>
      </c>
      <c r="BE497" s="1">
        <v>0</v>
      </c>
      <c r="BF497" s="1">
        <v>0</v>
      </c>
      <c r="BG497" s="1">
        <v>28</v>
      </c>
      <c r="BH497" s="1">
        <v>25131.3</v>
      </c>
      <c r="BI497" s="1">
        <v>1</v>
      </c>
      <c r="BJ497" s="1">
        <v>0</v>
      </c>
    </row>
    <row r="498" spans="1:62" x14ac:dyDescent="0.3">
      <c r="A498" s="1">
        <v>1</v>
      </c>
      <c r="B498">
        <v>497</v>
      </c>
      <c r="C498" s="1" t="s">
        <v>71</v>
      </c>
      <c r="D498">
        <v>0</v>
      </c>
      <c r="E498" s="6">
        <v>43116</v>
      </c>
      <c r="F498" s="1" t="s">
        <v>59</v>
      </c>
      <c r="G498" s="1">
        <v>1</v>
      </c>
      <c r="H498" s="1">
        <v>1</v>
      </c>
      <c r="I498" s="1">
        <v>2</v>
      </c>
      <c r="J498" s="1" t="s">
        <v>197</v>
      </c>
      <c r="K498" s="1">
        <v>20.05</v>
      </c>
      <c r="L498" s="1">
        <v>1</v>
      </c>
      <c r="M498" s="1">
        <v>0</v>
      </c>
      <c r="N498" s="1">
        <v>0</v>
      </c>
      <c r="O498" s="1">
        <v>0</v>
      </c>
      <c r="P498" s="1">
        <v>1</v>
      </c>
      <c r="Q498" s="1">
        <v>0</v>
      </c>
      <c r="R498" s="1">
        <v>0</v>
      </c>
      <c r="S498" s="1">
        <v>0</v>
      </c>
      <c r="T498" s="1">
        <v>1</v>
      </c>
      <c r="U498" s="1">
        <v>0</v>
      </c>
      <c r="V498" s="1">
        <v>0</v>
      </c>
      <c r="W498" s="1">
        <v>0</v>
      </c>
      <c r="X498" s="1">
        <v>1</v>
      </c>
      <c r="Y498" s="1">
        <v>0</v>
      </c>
      <c r="Z498" s="1">
        <v>2</v>
      </c>
      <c r="AA498">
        <v>0.87565000000000015</v>
      </c>
      <c r="AB498" s="1">
        <v>19.399999999999999</v>
      </c>
      <c r="AC498" s="1">
        <v>41</v>
      </c>
      <c r="AD498">
        <f>AB498*100/AC498</f>
        <v>47.317073170731703</v>
      </c>
      <c r="AR498" s="1">
        <v>1</v>
      </c>
      <c r="AS498" s="1">
        <v>0</v>
      </c>
      <c r="AT498" s="1">
        <v>0</v>
      </c>
      <c r="AU498" s="1">
        <v>0</v>
      </c>
      <c r="AV498" s="1">
        <v>0</v>
      </c>
      <c r="AW498" s="1">
        <v>1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3</v>
      </c>
      <c r="BE498" s="1">
        <v>0</v>
      </c>
      <c r="BF498" s="1">
        <v>0</v>
      </c>
      <c r="BG498" s="1">
        <v>84</v>
      </c>
      <c r="BH498" s="1">
        <v>202128.99</v>
      </c>
      <c r="BI498" s="1">
        <v>1</v>
      </c>
      <c r="BJ498" s="1">
        <v>1</v>
      </c>
    </row>
    <row r="499" spans="1:62" x14ac:dyDescent="0.3">
      <c r="A499" s="1">
        <v>1</v>
      </c>
      <c r="B499" s="1">
        <v>498</v>
      </c>
      <c r="C499" s="1" t="s">
        <v>57</v>
      </c>
      <c r="D499">
        <v>0</v>
      </c>
      <c r="E499" s="6">
        <v>43194</v>
      </c>
      <c r="F499" s="1" t="s">
        <v>52</v>
      </c>
      <c r="G499" s="1">
        <v>0</v>
      </c>
      <c r="H499" s="1">
        <v>1</v>
      </c>
      <c r="I499" s="1">
        <v>2</v>
      </c>
      <c r="J499" s="1" t="s">
        <v>195</v>
      </c>
      <c r="K499" s="1">
        <v>18.309999999999999</v>
      </c>
      <c r="L499" s="1">
        <v>0</v>
      </c>
      <c r="M499" s="1">
        <v>1</v>
      </c>
      <c r="N499" s="1">
        <v>1</v>
      </c>
      <c r="O499" s="1">
        <v>1</v>
      </c>
      <c r="P499" s="1">
        <v>1</v>
      </c>
      <c r="Q499" s="1">
        <v>1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2</v>
      </c>
      <c r="AA499">
        <v>0.47331000000000001</v>
      </c>
      <c r="AB499" s="1">
        <v>9.35</v>
      </c>
      <c r="AC499" s="1">
        <v>41</v>
      </c>
      <c r="AD499">
        <f>AB499*100/AC499</f>
        <v>22.804878048780488</v>
      </c>
      <c r="AE499" s="1">
        <v>5</v>
      </c>
      <c r="AF499" s="1">
        <v>1833</v>
      </c>
      <c r="AG499" s="1">
        <v>22.6</v>
      </c>
      <c r="AH499" s="1">
        <v>16.2</v>
      </c>
      <c r="AI499" s="1">
        <v>5.14</v>
      </c>
      <c r="AK499" s="1">
        <v>74.3</v>
      </c>
      <c r="AL499" s="1">
        <v>59.3</v>
      </c>
      <c r="AM499" s="1">
        <v>14.3</v>
      </c>
      <c r="AN499" s="1">
        <v>346</v>
      </c>
      <c r="AO499" s="1">
        <v>279</v>
      </c>
      <c r="AP499" s="1">
        <v>67</v>
      </c>
      <c r="AQ499">
        <f>AL499/AM499</f>
        <v>4.1468531468531467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3</v>
      </c>
      <c r="BE499" s="1">
        <v>0</v>
      </c>
      <c r="BF499" s="1">
        <v>1</v>
      </c>
      <c r="BG499" s="1">
        <v>22</v>
      </c>
      <c r="BH499" s="1">
        <v>57012.19</v>
      </c>
      <c r="BI499" s="1">
        <v>0</v>
      </c>
      <c r="BJ499" s="1">
        <v>0</v>
      </c>
    </row>
    <row r="500" spans="1:62" x14ac:dyDescent="0.3">
      <c r="A500">
        <v>1</v>
      </c>
      <c r="B500" s="1">
        <v>499</v>
      </c>
      <c r="C500" s="1" t="s">
        <v>60</v>
      </c>
      <c r="D500">
        <v>0</v>
      </c>
      <c r="E500" s="2">
        <v>43518</v>
      </c>
      <c r="F500" t="s">
        <v>132</v>
      </c>
      <c r="G500" s="1">
        <v>0</v>
      </c>
      <c r="H500" s="1">
        <v>1</v>
      </c>
      <c r="I500" s="1">
        <v>1</v>
      </c>
      <c r="J500" s="1" t="s">
        <v>187</v>
      </c>
      <c r="K500" s="1">
        <v>26.37</v>
      </c>
      <c r="L500" s="1">
        <v>0</v>
      </c>
      <c r="M500" s="1">
        <v>1</v>
      </c>
      <c r="N500" s="1">
        <v>1</v>
      </c>
      <c r="O500" s="1">
        <v>0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1</v>
      </c>
      <c r="Z500" s="1">
        <v>1</v>
      </c>
      <c r="AA500" s="1">
        <v>1</v>
      </c>
      <c r="AE500">
        <v>5</v>
      </c>
      <c r="AF500">
        <v>1102</v>
      </c>
      <c r="AG500">
        <v>5.52</v>
      </c>
      <c r="AH500">
        <v>22.1</v>
      </c>
      <c r="AI500">
        <v>8.49</v>
      </c>
      <c r="AJ500">
        <v>8.1300000000000008</v>
      </c>
      <c r="AK500">
        <v>84.5</v>
      </c>
      <c r="AL500">
        <v>55.5</v>
      </c>
      <c r="AM500">
        <v>28.1</v>
      </c>
      <c r="AN500">
        <v>2888</v>
      </c>
      <c r="AO500">
        <v>1899</v>
      </c>
      <c r="AP500">
        <v>963</v>
      </c>
      <c r="AQ500">
        <f>AL500/AM500</f>
        <v>1.9750889679715302</v>
      </c>
      <c r="AR500">
        <v>1</v>
      </c>
      <c r="AS500">
        <v>0</v>
      </c>
      <c r="AT500">
        <v>0</v>
      </c>
      <c r="AU500">
        <v>0</v>
      </c>
      <c r="AV500">
        <v>1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 s="1">
        <v>0</v>
      </c>
      <c r="BF500" s="1">
        <v>0</v>
      </c>
      <c r="BG500" s="1">
        <v>47</v>
      </c>
      <c r="BH500">
        <f>148377+53114+2442</f>
        <v>203933</v>
      </c>
      <c r="BI500" s="1">
        <v>0</v>
      </c>
      <c r="BJ500" s="1">
        <v>0</v>
      </c>
    </row>
    <row r="501" spans="1:62" x14ac:dyDescent="0.3">
      <c r="A501">
        <v>1</v>
      </c>
      <c r="B501">
        <v>500</v>
      </c>
      <c r="C501" t="s">
        <v>62</v>
      </c>
      <c r="D501">
        <v>0</v>
      </c>
      <c r="E501" s="2" t="s">
        <v>165</v>
      </c>
      <c r="F501" s="4" t="s">
        <v>70</v>
      </c>
      <c r="G501" s="1">
        <v>1</v>
      </c>
      <c r="H501" s="1">
        <v>1</v>
      </c>
      <c r="I501" s="1">
        <v>3</v>
      </c>
      <c r="J501" s="1" t="s">
        <v>190</v>
      </c>
      <c r="K501" s="1">
        <v>18.93</v>
      </c>
      <c r="L501" s="1">
        <v>0</v>
      </c>
      <c r="M501" s="1">
        <v>1</v>
      </c>
      <c r="N501" s="1">
        <v>0</v>
      </c>
      <c r="O501" s="1">
        <v>1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1</v>
      </c>
      <c r="Y501" s="1">
        <v>1</v>
      </c>
      <c r="Z501" s="1">
        <v>2</v>
      </c>
      <c r="AA501" s="1">
        <v>0.2</v>
      </c>
      <c r="AB501" s="1">
        <v>7.24</v>
      </c>
      <c r="AC501" s="1">
        <v>21</v>
      </c>
      <c r="AD501">
        <f>AB501*100/AC501</f>
        <v>34.476190476190474</v>
      </c>
      <c r="AK501">
        <v>79.8</v>
      </c>
      <c r="AL501">
        <v>28.9</v>
      </c>
      <c r="AM501">
        <v>48.6</v>
      </c>
      <c r="AN501">
        <v>1404</v>
      </c>
      <c r="AO501">
        <v>509</v>
      </c>
      <c r="AP501">
        <v>855</v>
      </c>
      <c r="AQ501">
        <f>AL501/AM501</f>
        <v>0.59465020576131677</v>
      </c>
      <c r="AR501">
        <v>1</v>
      </c>
      <c r="AS501">
        <v>1</v>
      </c>
      <c r="AT501">
        <v>1</v>
      </c>
      <c r="AU501">
        <v>1</v>
      </c>
      <c r="AV501">
        <v>1</v>
      </c>
      <c r="AW501">
        <v>0</v>
      </c>
      <c r="AX501">
        <v>1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1</v>
      </c>
      <c r="BE501" s="1">
        <v>1</v>
      </c>
      <c r="BF501" s="1">
        <v>1</v>
      </c>
      <c r="BG501" s="1">
        <v>89</v>
      </c>
      <c r="BH501">
        <f>101486.99+1651.59+54616+5458+980+8430+50+2756+23868+4051+1252.5+2424.46</f>
        <v>207024.54</v>
      </c>
      <c r="BI501" s="1">
        <v>0</v>
      </c>
      <c r="BJ501" s="1">
        <v>1</v>
      </c>
    </row>
    <row r="502" spans="1:62" x14ac:dyDescent="0.3">
      <c r="A502">
        <v>1</v>
      </c>
      <c r="B502" s="1">
        <v>501</v>
      </c>
      <c r="C502" t="s">
        <v>142</v>
      </c>
      <c r="D502">
        <v>1</v>
      </c>
      <c r="E502" s="2">
        <v>43511</v>
      </c>
      <c r="F502" t="s">
        <v>129</v>
      </c>
      <c r="G502" s="1">
        <v>0</v>
      </c>
      <c r="H502" s="1">
        <v>0</v>
      </c>
      <c r="I502" s="1">
        <v>2</v>
      </c>
      <c r="J502" s="1" t="s">
        <v>197</v>
      </c>
      <c r="K502" s="1">
        <v>23.44</v>
      </c>
      <c r="L502" s="1">
        <v>2</v>
      </c>
      <c r="M502" s="1">
        <v>1</v>
      </c>
      <c r="N502" s="1">
        <v>1</v>
      </c>
      <c r="O502" s="1">
        <v>0</v>
      </c>
      <c r="P502" s="1">
        <v>0</v>
      </c>
      <c r="Q502" s="1">
        <v>1</v>
      </c>
      <c r="R502" s="1">
        <v>1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2</v>
      </c>
      <c r="AA502" s="1">
        <v>0.83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2</v>
      </c>
      <c r="BE502" s="1">
        <v>0</v>
      </c>
      <c r="BF502" s="1">
        <v>0</v>
      </c>
      <c r="BG502" s="1">
        <v>26</v>
      </c>
      <c r="BH502">
        <f>3432.22+6315+2552+676+6450+357+525+53.13</f>
        <v>20360.350000000002</v>
      </c>
      <c r="BI502" s="1">
        <v>0</v>
      </c>
      <c r="BJ502" s="1">
        <v>0</v>
      </c>
    </row>
    <row r="503" spans="1:62" x14ac:dyDescent="0.3">
      <c r="A503" s="1">
        <v>1</v>
      </c>
      <c r="B503">
        <v>502</v>
      </c>
      <c r="C503" s="1" t="s">
        <v>80</v>
      </c>
      <c r="D503">
        <v>1</v>
      </c>
      <c r="E503" s="6">
        <v>42807</v>
      </c>
      <c r="F503" s="1" t="s">
        <v>52</v>
      </c>
      <c r="G503" s="1">
        <v>0</v>
      </c>
      <c r="H503" s="1">
        <v>1</v>
      </c>
      <c r="I503" s="1">
        <v>3</v>
      </c>
      <c r="J503" s="1" t="s">
        <v>188</v>
      </c>
      <c r="K503" s="1">
        <v>20.2</v>
      </c>
      <c r="L503" s="1">
        <v>0</v>
      </c>
      <c r="M503" s="1">
        <v>1</v>
      </c>
      <c r="N503" s="1">
        <v>1</v>
      </c>
      <c r="O503" s="1">
        <v>1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2</v>
      </c>
      <c r="AA503">
        <v>0.94440000000000002</v>
      </c>
      <c r="AB503" s="1">
        <v>12.24</v>
      </c>
      <c r="AC503" s="1">
        <v>61</v>
      </c>
      <c r="AD503">
        <f t="shared" ref="AD503:AD509" si="17">AB503*100/AC503</f>
        <v>20.065573770491802</v>
      </c>
      <c r="AE503" s="1">
        <v>5</v>
      </c>
      <c r="AF503" s="1">
        <v>1475</v>
      </c>
      <c r="AG503" s="1">
        <v>4.2</v>
      </c>
      <c r="AH503" s="1">
        <v>39.1</v>
      </c>
      <c r="AI503" s="1">
        <v>11.6</v>
      </c>
      <c r="AJ503" s="1">
        <v>12.4</v>
      </c>
      <c r="AK503" s="1">
        <v>87.5</v>
      </c>
      <c r="AL503" s="1">
        <v>62.3</v>
      </c>
      <c r="AM503" s="1">
        <v>22.8</v>
      </c>
      <c r="AN503" s="1">
        <v>718</v>
      </c>
      <c r="AO503" s="1">
        <v>511</v>
      </c>
      <c r="AP503" s="1">
        <v>187</v>
      </c>
      <c r="AQ503">
        <f>AL503/AM503</f>
        <v>2.7324561403508771</v>
      </c>
      <c r="AR503" s="1">
        <v>1</v>
      </c>
      <c r="AS503" s="1">
        <v>1</v>
      </c>
      <c r="AT503" s="1">
        <v>1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1</v>
      </c>
      <c r="BE503" s="1">
        <v>3</v>
      </c>
      <c r="BF503" s="1">
        <v>1</v>
      </c>
      <c r="BG503" s="1">
        <v>53</v>
      </c>
      <c r="BH503" s="1">
        <v>240524.17</v>
      </c>
      <c r="BI503" s="1">
        <v>0</v>
      </c>
      <c r="BJ503" s="1">
        <v>1</v>
      </c>
    </row>
    <row r="504" spans="1:62" x14ac:dyDescent="0.3">
      <c r="A504" s="1">
        <v>1</v>
      </c>
      <c r="B504" s="1">
        <v>503</v>
      </c>
      <c r="C504" s="1" t="s">
        <v>54</v>
      </c>
      <c r="D504">
        <v>1</v>
      </c>
      <c r="E504" s="6">
        <v>42807</v>
      </c>
      <c r="F504" s="1" t="s">
        <v>52</v>
      </c>
      <c r="G504" s="1">
        <v>0</v>
      </c>
      <c r="H504" s="1">
        <v>1</v>
      </c>
      <c r="I504" s="1">
        <v>3</v>
      </c>
      <c r="J504" s="1" t="s">
        <v>188</v>
      </c>
      <c r="K504" s="1">
        <v>20.2</v>
      </c>
      <c r="L504" s="1">
        <v>0</v>
      </c>
      <c r="M504" s="1">
        <v>1</v>
      </c>
      <c r="N504" s="1">
        <v>1</v>
      </c>
      <c r="O504" s="1">
        <v>1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2</v>
      </c>
      <c r="AA504">
        <v>0.94440000000000002</v>
      </c>
      <c r="AB504" s="1">
        <v>12.24</v>
      </c>
      <c r="AC504" s="1">
        <v>61</v>
      </c>
      <c r="AD504">
        <f t="shared" si="17"/>
        <v>20.065573770491802</v>
      </c>
      <c r="AE504" s="1">
        <v>5</v>
      </c>
      <c r="AF504" s="1">
        <v>1475</v>
      </c>
      <c r="AG504" s="1">
        <v>4.2</v>
      </c>
      <c r="AH504" s="1">
        <v>39.1</v>
      </c>
      <c r="AI504" s="1">
        <v>11.6</v>
      </c>
      <c r="AJ504" s="1">
        <v>12.4</v>
      </c>
      <c r="AK504" s="1">
        <v>87.5</v>
      </c>
      <c r="AL504" s="1">
        <v>62.3</v>
      </c>
      <c r="AM504" s="1">
        <v>22.8</v>
      </c>
      <c r="AN504" s="1">
        <v>718</v>
      </c>
      <c r="AO504" s="1">
        <v>511</v>
      </c>
      <c r="AP504" s="1">
        <v>187</v>
      </c>
      <c r="AQ504">
        <f>AL504/AM504</f>
        <v>2.7324561403508771</v>
      </c>
      <c r="AR504" s="1">
        <v>1</v>
      </c>
      <c r="AS504" s="1">
        <v>1</v>
      </c>
      <c r="AT504" s="1">
        <v>1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1</v>
      </c>
      <c r="BE504" s="1">
        <v>3</v>
      </c>
      <c r="BF504" s="1">
        <v>1</v>
      </c>
      <c r="BG504" s="1">
        <v>53</v>
      </c>
      <c r="BH504" s="1">
        <v>240524.17</v>
      </c>
      <c r="BI504" s="1">
        <v>0</v>
      </c>
      <c r="BJ504" s="1">
        <v>1</v>
      </c>
    </row>
    <row r="505" spans="1:62" ht="15" x14ac:dyDescent="0.3">
      <c r="A505">
        <v>2</v>
      </c>
      <c r="B505" s="1">
        <v>504</v>
      </c>
      <c r="C505" s="5" t="s">
        <v>54</v>
      </c>
      <c r="D505">
        <v>0</v>
      </c>
      <c r="E505" s="2" t="s">
        <v>164</v>
      </c>
      <c r="F505" s="4" t="s">
        <v>70</v>
      </c>
      <c r="G505" s="1">
        <v>1</v>
      </c>
      <c r="H505" s="1">
        <v>1</v>
      </c>
      <c r="I505" s="1">
        <v>3</v>
      </c>
      <c r="J505" s="1" t="s">
        <v>185</v>
      </c>
      <c r="K505" s="1">
        <v>25.06</v>
      </c>
      <c r="L505" s="1">
        <v>1</v>
      </c>
      <c r="M505" s="1">
        <v>0</v>
      </c>
      <c r="N505" s="1">
        <v>0</v>
      </c>
      <c r="O505" s="1">
        <v>1</v>
      </c>
      <c r="P505" s="1">
        <v>1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2</v>
      </c>
      <c r="AA505" s="1">
        <v>0.7</v>
      </c>
      <c r="AB505" s="1">
        <v>6.59</v>
      </c>
      <c r="AC505" s="1">
        <v>21</v>
      </c>
      <c r="AD505">
        <f t="shared" si="17"/>
        <v>31.38095238095238</v>
      </c>
      <c r="AE505" s="1">
        <v>5</v>
      </c>
      <c r="AF505" s="1">
        <v>3605</v>
      </c>
      <c r="AG505" s="1">
        <v>604</v>
      </c>
      <c r="AH505">
        <v>210</v>
      </c>
      <c r="AI505" s="1">
        <v>58.5</v>
      </c>
      <c r="AJ505" s="1">
        <v>25.2</v>
      </c>
      <c r="AK505" s="1">
        <v>93.4</v>
      </c>
      <c r="AL505" s="1">
        <v>27</v>
      </c>
      <c r="AM505" s="1">
        <v>64.5</v>
      </c>
      <c r="AN505" s="1">
        <v>486</v>
      </c>
      <c r="AO505" s="1">
        <v>140</v>
      </c>
      <c r="AP505" s="1">
        <v>335</v>
      </c>
      <c r="AQ505">
        <f>AL505/AM505</f>
        <v>0.41860465116279072</v>
      </c>
      <c r="AR505" s="1">
        <v>1</v>
      </c>
      <c r="AS505" s="1">
        <v>0</v>
      </c>
      <c r="AT505" s="1">
        <v>1</v>
      </c>
      <c r="AU505" s="1">
        <v>0</v>
      </c>
      <c r="AV505" s="1">
        <v>1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1</v>
      </c>
      <c r="BC505" s="1">
        <v>1</v>
      </c>
      <c r="BD505" s="1">
        <v>2</v>
      </c>
      <c r="BE505" s="1">
        <v>2</v>
      </c>
      <c r="BF505" s="1">
        <v>1</v>
      </c>
      <c r="BG505" s="1">
        <v>10</v>
      </c>
      <c r="BH505">
        <f>252057.67</f>
        <v>252057.67</v>
      </c>
      <c r="BI505" s="1">
        <v>0</v>
      </c>
      <c r="BJ505" s="1">
        <v>1</v>
      </c>
    </row>
    <row r="506" spans="1:62" x14ac:dyDescent="0.3">
      <c r="A506" s="1">
        <v>1</v>
      </c>
      <c r="B506">
        <v>505</v>
      </c>
      <c r="C506" s="1" t="s">
        <v>51</v>
      </c>
      <c r="D506">
        <v>0</v>
      </c>
      <c r="E506" s="6">
        <v>42590</v>
      </c>
      <c r="F506" s="1" t="s">
        <v>70</v>
      </c>
      <c r="G506" s="1">
        <v>1</v>
      </c>
      <c r="H506" s="1">
        <v>1</v>
      </c>
      <c r="I506" s="1">
        <v>3</v>
      </c>
      <c r="J506" s="1" t="s">
        <v>184</v>
      </c>
      <c r="K506" s="1">
        <v>33.200000000000003</v>
      </c>
      <c r="L506" s="1">
        <v>0</v>
      </c>
      <c r="M506" s="1">
        <v>1</v>
      </c>
      <c r="N506" s="1">
        <v>1</v>
      </c>
      <c r="O506" s="1">
        <v>0</v>
      </c>
      <c r="P506" s="1">
        <v>1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2</v>
      </c>
      <c r="AA506" s="1">
        <v>1.31</v>
      </c>
      <c r="AB506" s="1">
        <v>13.95</v>
      </c>
      <c r="AC506" s="1">
        <v>41</v>
      </c>
      <c r="AD506">
        <f t="shared" si="17"/>
        <v>34.024390243902438</v>
      </c>
      <c r="AR506" s="1">
        <v>1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1</v>
      </c>
      <c r="AY506" s="1">
        <v>1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3</v>
      </c>
      <c r="BF506" s="1">
        <v>1</v>
      </c>
      <c r="BG506" s="1">
        <v>41</v>
      </c>
      <c r="BH506" s="1">
        <v>252272.11</v>
      </c>
      <c r="BI506" s="1">
        <v>0</v>
      </c>
      <c r="BJ506" s="1">
        <v>0</v>
      </c>
    </row>
    <row r="507" spans="1:62" x14ac:dyDescent="0.3">
      <c r="A507" s="1">
        <v>2</v>
      </c>
      <c r="B507" s="1">
        <v>506</v>
      </c>
      <c r="C507" s="1" t="s">
        <v>74</v>
      </c>
      <c r="D507">
        <v>0</v>
      </c>
      <c r="E507" s="6">
        <v>42597</v>
      </c>
      <c r="F507" s="1" t="s">
        <v>70</v>
      </c>
      <c r="G507" s="1">
        <v>1</v>
      </c>
      <c r="H507" s="1">
        <v>1</v>
      </c>
      <c r="I507" s="1">
        <v>2</v>
      </c>
      <c r="J507" s="1" t="s">
        <v>194</v>
      </c>
      <c r="K507" s="1">
        <v>22.84</v>
      </c>
      <c r="L507" s="1">
        <v>1</v>
      </c>
      <c r="M507" s="1">
        <v>0</v>
      </c>
      <c r="N507" s="1">
        <v>1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1</v>
      </c>
      <c r="Z507" s="1">
        <v>2</v>
      </c>
      <c r="AA507">
        <v>0.37842999999999999</v>
      </c>
      <c r="AB507" s="1">
        <v>14.41</v>
      </c>
      <c r="AC507" s="1">
        <v>52</v>
      </c>
      <c r="AD507">
        <f t="shared" si="17"/>
        <v>27.71153846153846</v>
      </c>
      <c r="AE507" s="1">
        <v>5</v>
      </c>
      <c r="AF507" s="1">
        <v>1220</v>
      </c>
      <c r="AG507" s="1">
        <v>45.3</v>
      </c>
      <c r="AH507" s="1">
        <v>812</v>
      </c>
      <c r="AI507" s="1">
        <v>7.78</v>
      </c>
      <c r="AJ507" s="1">
        <v>24.6</v>
      </c>
      <c r="AK507" s="1">
        <v>69.3</v>
      </c>
      <c r="AL507" s="1">
        <v>42.2</v>
      </c>
      <c r="AM507" s="1">
        <v>26.7</v>
      </c>
      <c r="AQ507">
        <f>AL507/AM507</f>
        <v>1.5805243445692885</v>
      </c>
      <c r="AR507" s="1">
        <v>1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1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4</v>
      </c>
      <c r="BE507" s="1">
        <v>1</v>
      </c>
      <c r="BF507" s="1">
        <v>1</v>
      </c>
      <c r="BG507" s="1">
        <v>65</v>
      </c>
      <c r="BH507" s="1">
        <v>262887.67</v>
      </c>
      <c r="BI507" s="1">
        <v>0</v>
      </c>
      <c r="BJ507" s="1">
        <v>1</v>
      </c>
    </row>
    <row r="508" spans="1:62" x14ac:dyDescent="0.3">
      <c r="A508" s="1">
        <v>1</v>
      </c>
      <c r="B508">
        <v>507</v>
      </c>
      <c r="C508" s="1" t="s">
        <v>57</v>
      </c>
      <c r="D508">
        <v>0</v>
      </c>
      <c r="E508" s="6">
        <v>42941</v>
      </c>
      <c r="F508" s="1" t="s">
        <v>52</v>
      </c>
      <c r="G508" s="1">
        <v>0</v>
      </c>
      <c r="H508" s="1">
        <v>1</v>
      </c>
      <c r="I508" s="1">
        <v>2</v>
      </c>
      <c r="J508" s="1" t="s">
        <v>192</v>
      </c>
      <c r="K508" s="1">
        <v>15.41</v>
      </c>
      <c r="L508" s="1">
        <v>1</v>
      </c>
      <c r="M508" s="1">
        <v>1</v>
      </c>
      <c r="N508" s="1">
        <v>1</v>
      </c>
      <c r="O508" s="1">
        <v>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1</v>
      </c>
      <c r="V508" s="1">
        <v>0</v>
      </c>
      <c r="W508" s="1">
        <v>0</v>
      </c>
      <c r="X508" s="1">
        <v>0</v>
      </c>
      <c r="Y508" s="1">
        <v>1</v>
      </c>
      <c r="Z508" s="1">
        <v>2</v>
      </c>
      <c r="AA508">
        <v>0.58163000000000009</v>
      </c>
      <c r="AB508" s="1">
        <v>11.75</v>
      </c>
      <c r="AC508" s="1">
        <v>21</v>
      </c>
      <c r="AD508">
        <f t="shared" si="17"/>
        <v>55.952380952380949</v>
      </c>
      <c r="AK508" s="1">
        <v>58.4</v>
      </c>
      <c r="AL508" s="1">
        <v>31.8</v>
      </c>
      <c r="AM508" s="1">
        <v>25.9</v>
      </c>
      <c r="AQ508">
        <f>AL508/AM508</f>
        <v>1.2277992277992278</v>
      </c>
      <c r="AR508" s="1">
        <v>1</v>
      </c>
      <c r="AS508" s="1">
        <v>1</v>
      </c>
      <c r="AT508" s="1">
        <v>1</v>
      </c>
      <c r="AU508" s="1">
        <v>1</v>
      </c>
      <c r="AV508" s="1">
        <v>1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4</v>
      </c>
      <c r="BE508" s="1">
        <v>1</v>
      </c>
      <c r="BF508" s="1">
        <v>1</v>
      </c>
      <c r="BG508" s="1">
        <v>97</v>
      </c>
      <c r="BH508" s="1">
        <v>263678.68</v>
      </c>
      <c r="BI508" s="1">
        <v>0</v>
      </c>
      <c r="BJ508" s="1">
        <v>1</v>
      </c>
    </row>
    <row r="509" spans="1:62" x14ac:dyDescent="0.3">
      <c r="A509" s="1">
        <v>1</v>
      </c>
      <c r="B509" s="1">
        <v>508</v>
      </c>
      <c r="C509" s="1" t="s">
        <v>113</v>
      </c>
      <c r="D509">
        <v>1</v>
      </c>
      <c r="E509" s="6">
        <v>43254</v>
      </c>
      <c r="F509" s="1" t="s">
        <v>85</v>
      </c>
      <c r="G509" s="1">
        <v>0</v>
      </c>
      <c r="H509" s="1">
        <v>0</v>
      </c>
      <c r="I509" s="1">
        <v>1</v>
      </c>
      <c r="J509" s="1" t="s">
        <v>192</v>
      </c>
      <c r="K509" s="1">
        <v>26.89</v>
      </c>
      <c r="L509" s="1">
        <v>0</v>
      </c>
      <c r="M509" s="1">
        <v>0</v>
      </c>
      <c r="N509" s="1">
        <v>1</v>
      </c>
      <c r="O509" s="1">
        <v>0</v>
      </c>
      <c r="P509" s="1">
        <v>0</v>
      </c>
      <c r="Q509" s="1">
        <v>1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1</v>
      </c>
      <c r="AA509">
        <v>1.44434</v>
      </c>
      <c r="AB509" s="1">
        <v>10.81</v>
      </c>
      <c r="AC509" s="1">
        <v>21</v>
      </c>
      <c r="AD509">
        <f t="shared" si="17"/>
        <v>51.476190476190474</v>
      </c>
      <c r="AK509" s="1">
        <v>53.7</v>
      </c>
      <c r="AL509" s="1">
        <v>31.5</v>
      </c>
      <c r="AM509" s="1">
        <v>21.8</v>
      </c>
      <c r="AN509" s="1">
        <v>696</v>
      </c>
      <c r="AO509" s="1">
        <v>410</v>
      </c>
      <c r="AP509" s="1">
        <v>283</v>
      </c>
      <c r="AQ509">
        <f>AL509/AM509</f>
        <v>1.4449541284403669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1</v>
      </c>
      <c r="BE509" s="1">
        <v>0</v>
      </c>
      <c r="BF509" s="1">
        <v>0</v>
      </c>
      <c r="BG509" s="1">
        <v>6</v>
      </c>
      <c r="BH509" s="1">
        <v>18538.54</v>
      </c>
      <c r="BI509" s="1">
        <v>0</v>
      </c>
      <c r="BJ509" s="1">
        <v>0</v>
      </c>
    </row>
    <row r="510" spans="1:62" x14ac:dyDescent="0.3">
      <c r="A510">
        <v>2</v>
      </c>
      <c r="B510" s="1">
        <v>509</v>
      </c>
      <c r="C510" t="s">
        <v>69</v>
      </c>
      <c r="D510">
        <v>0</v>
      </c>
      <c r="E510" s="2">
        <v>43473</v>
      </c>
      <c r="F510" t="s">
        <v>76</v>
      </c>
      <c r="G510" s="1">
        <v>0</v>
      </c>
      <c r="H510" s="1">
        <v>0</v>
      </c>
      <c r="I510" s="1">
        <v>3</v>
      </c>
      <c r="J510" s="1" t="s">
        <v>189</v>
      </c>
      <c r="K510" s="1">
        <v>25.25</v>
      </c>
      <c r="L510" s="1">
        <v>1</v>
      </c>
      <c r="M510" s="1">
        <v>1</v>
      </c>
      <c r="N510" s="1">
        <v>1</v>
      </c>
      <c r="O510" s="1">
        <v>1</v>
      </c>
      <c r="P510" s="1">
        <v>1</v>
      </c>
      <c r="Q510" s="1">
        <v>1</v>
      </c>
      <c r="R510" s="1">
        <v>0</v>
      </c>
      <c r="S510" s="1">
        <v>0</v>
      </c>
      <c r="T510" s="1">
        <v>0</v>
      </c>
      <c r="U510" s="1">
        <v>1</v>
      </c>
      <c r="V510" s="1">
        <v>0</v>
      </c>
      <c r="W510" s="1">
        <v>0</v>
      </c>
      <c r="X510" s="1">
        <v>0</v>
      </c>
      <c r="Y510" s="1">
        <v>0</v>
      </c>
      <c r="Z510" s="1">
        <v>2</v>
      </c>
      <c r="AA510" s="1">
        <v>1.08</v>
      </c>
      <c r="AE510">
        <v>5</v>
      </c>
      <c r="AF510">
        <v>3427</v>
      </c>
      <c r="AG510">
        <v>11</v>
      </c>
      <c r="AH510">
        <v>26.1</v>
      </c>
      <c r="AI510">
        <v>29.4</v>
      </c>
      <c r="AR510">
        <v>1</v>
      </c>
      <c r="AS510">
        <v>1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2</v>
      </c>
      <c r="BE510" s="1">
        <v>0</v>
      </c>
      <c r="BF510" s="1">
        <v>1</v>
      </c>
      <c r="BG510" s="1">
        <v>38</v>
      </c>
      <c r="BH510">
        <f>42612.53+19450+14171+210+900+5950+16767+590+912+3232+1616+1700+40434.22</f>
        <v>148544.75</v>
      </c>
      <c r="BI510" s="1">
        <v>0</v>
      </c>
      <c r="BJ510" s="1">
        <v>1</v>
      </c>
    </row>
    <row r="511" spans="1:62" x14ac:dyDescent="0.3">
      <c r="A511" s="1">
        <v>2</v>
      </c>
      <c r="B511">
        <v>510</v>
      </c>
      <c r="C511" s="1" t="s">
        <v>54</v>
      </c>
      <c r="D511">
        <v>0</v>
      </c>
      <c r="E511" s="6">
        <v>42717</v>
      </c>
      <c r="F511" s="1" t="s">
        <v>70</v>
      </c>
      <c r="G511" s="1">
        <v>0</v>
      </c>
      <c r="H511" s="1">
        <v>1</v>
      </c>
      <c r="I511" s="1">
        <v>1</v>
      </c>
      <c r="J511" s="1" t="s">
        <v>191</v>
      </c>
      <c r="K511" s="1">
        <v>15.21</v>
      </c>
      <c r="L511" s="1">
        <v>0</v>
      </c>
      <c r="M511" s="1">
        <v>1</v>
      </c>
      <c r="N511" s="1">
        <v>1</v>
      </c>
      <c r="O511" s="1">
        <v>1</v>
      </c>
      <c r="P511" s="1">
        <v>1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2</v>
      </c>
      <c r="AA511">
        <v>1.1345800000000001</v>
      </c>
      <c r="AB511" s="1">
        <v>11.84</v>
      </c>
      <c r="AC511" s="1">
        <v>40</v>
      </c>
      <c r="AD511">
        <f t="shared" ref="AD511:AD516" si="18">AB511*100/AC511</f>
        <v>29.6</v>
      </c>
      <c r="AK511" s="1">
        <v>75.5</v>
      </c>
      <c r="AL511" s="1">
        <v>49.1</v>
      </c>
      <c r="AM511" s="1">
        <v>22</v>
      </c>
      <c r="AQ511">
        <f>AL511/AM511</f>
        <v>2.2318181818181819</v>
      </c>
      <c r="AR511" s="1">
        <v>1</v>
      </c>
      <c r="AS511" s="1">
        <v>1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1</v>
      </c>
      <c r="BF511" s="1">
        <v>1</v>
      </c>
      <c r="BG511" s="1">
        <v>201</v>
      </c>
      <c r="BH511" s="1">
        <v>289316.53000000003</v>
      </c>
      <c r="BI511" s="1">
        <v>0</v>
      </c>
      <c r="BJ511" s="1">
        <v>0</v>
      </c>
    </row>
    <row r="512" spans="1:62" x14ac:dyDescent="0.3">
      <c r="A512">
        <v>2</v>
      </c>
      <c r="B512" s="1">
        <v>511</v>
      </c>
      <c r="C512" s="1" t="s">
        <v>54</v>
      </c>
      <c r="D512">
        <v>0</v>
      </c>
      <c r="E512" s="6">
        <v>42717</v>
      </c>
      <c r="F512" s="1" t="s">
        <v>70</v>
      </c>
      <c r="G512" s="1">
        <v>0</v>
      </c>
      <c r="H512" s="1">
        <v>1</v>
      </c>
      <c r="I512" s="1">
        <v>1</v>
      </c>
      <c r="J512" s="1" t="s">
        <v>191</v>
      </c>
      <c r="K512" s="1">
        <v>15.21</v>
      </c>
      <c r="L512" s="1">
        <v>0</v>
      </c>
      <c r="M512" s="1">
        <v>1</v>
      </c>
      <c r="N512" s="1">
        <v>0</v>
      </c>
      <c r="O512" s="1">
        <v>0</v>
      </c>
      <c r="P512" s="1">
        <v>1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2</v>
      </c>
      <c r="AA512">
        <f>12.07*0.094</f>
        <v>1.1345799999999999</v>
      </c>
      <c r="AB512" s="1">
        <v>11.84</v>
      </c>
      <c r="AC512" s="1">
        <v>40</v>
      </c>
      <c r="AD512">
        <f t="shared" si="18"/>
        <v>29.6</v>
      </c>
      <c r="AR512" s="1">
        <v>1</v>
      </c>
      <c r="AS512" s="1">
        <v>1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1</v>
      </c>
      <c r="BF512" s="1">
        <v>1</v>
      </c>
      <c r="BG512" s="1">
        <v>100</v>
      </c>
      <c r="BH512" s="1">
        <v>289316.53000000003</v>
      </c>
      <c r="BI512" s="1">
        <v>0</v>
      </c>
      <c r="BJ512" s="1">
        <v>1</v>
      </c>
    </row>
    <row r="513" spans="1:62" x14ac:dyDescent="0.3">
      <c r="A513">
        <v>1</v>
      </c>
      <c r="B513">
        <v>512</v>
      </c>
      <c r="C513" s="1" t="s">
        <v>60</v>
      </c>
      <c r="D513">
        <v>0</v>
      </c>
      <c r="E513" s="2">
        <v>43499</v>
      </c>
      <c r="F513" t="s">
        <v>143</v>
      </c>
      <c r="G513" s="1">
        <v>0</v>
      </c>
      <c r="H513" s="1">
        <v>1</v>
      </c>
      <c r="I513" s="1">
        <v>2</v>
      </c>
      <c r="J513" s="1" t="s">
        <v>189</v>
      </c>
      <c r="K513" s="1">
        <v>25.71</v>
      </c>
      <c r="L513" s="1">
        <v>0</v>
      </c>
      <c r="M513" s="1">
        <v>1</v>
      </c>
      <c r="N513" s="1">
        <v>0</v>
      </c>
      <c r="O513" s="1">
        <v>1</v>
      </c>
      <c r="P513" s="1">
        <v>1</v>
      </c>
      <c r="Q513" s="1">
        <v>1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1</v>
      </c>
      <c r="Y513" s="1">
        <v>0</v>
      </c>
      <c r="Z513" s="1">
        <v>2</v>
      </c>
      <c r="AA513" s="1">
        <v>0.12</v>
      </c>
      <c r="AB513" s="1">
        <v>12.75</v>
      </c>
      <c r="AC513" s="1">
        <v>50</v>
      </c>
      <c r="AD513">
        <f t="shared" si="18"/>
        <v>25.5</v>
      </c>
      <c r="AE513" s="1">
        <v>5.32</v>
      </c>
      <c r="AF513" s="1">
        <v>970</v>
      </c>
      <c r="AG513" s="1">
        <v>128</v>
      </c>
      <c r="AH513" s="1">
        <v>34.6</v>
      </c>
      <c r="AI513" s="1">
        <v>70.599999999999994</v>
      </c>
      <c r="AJ513" s="1">
        <v>12.5</v>
      </c>
      <c r="AK513" s="1">
        <v>72</v>
      </c>
      <c r="AL513" s="1">
        <v>39.700000000000003</v>
      </c>
      <c r="AM513" s="1">
        <v>30</v>
      </c>
      <c r="AN513" s="1">
        <v>86</v>
      </c>
      <c r="AO513" s="1">
        <v>48</v>
      </c>
      <c r="AP513" s="1">
        <v>36</v>
      </c>
      <c r="AQ513">
        <f>AL513/AM513</f>
        <v>1.3233333333333335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3</v>
      </c>
      <c r="BE513" s="1">
        <v>2</v>
      </c>
      <c r="BF513" s="1">
        <v>1</v>
      </c>
      <c r="BG513" s="1">
        <v>40</v>
      </c>
      <c r="BH513">
        <f>33326.49+97.2+44554+4735+490+770+1752+11265+2835+825+2140</f>
        <v>102789.69</v>
      </c>
      <c r="BI513" s="1">
        <v>1</v>
      </c>
      <c r="BJ513" s="1">
        <v>1</v>
      </c>
    </row>
    <row r="514" spans="1:62" x14ac:dyDescent="0.3">
      <c r="A514" s="1">
        <v>1</v>
      </c>
      <c r="B514" s="1">
        <v>513</v>
      </c>
      <c r="C514" s="1" t="s">
        <v>57</v>
      </c>
      <c r="D514">
        <v>0</v>
      </c>
      <c r="E514" s="6">
        <v>43168</v>
      </c>
      <c r="F514" s="1" t="s">
        <v>52</v>
      </c>
      <c r="G514" s="1">
        <v>1</v>
      </c>
      <c r="H514" s="1">
        <v>1</v>
      </c>
      <c r="I514" s="1">
        <v>2</v>
      </c>
      <c r="J514" s="1" t="s">
        <v>191</v>
      </c>
      <c r="K514" s="1">
        <v>19.2</v>
      </c>
      <c r="L514" s="1">
        <v>0</v>
      </c>
      <c r="M514" s="1">
        <v>1</v>
      </c>
      <c r="N514" s="1">
        <v>1</v>
      </c>
      <c r="O514" s="1">
        <v>1</v>
      </c>
      <c r="P514" s="1">
        <v>1</v>
      </c>
      <c r="Q514" s="1">
        <v>0</v>
      </c>
      <c r="R514" s="1">
        <v>0</v>
      </c>
      <c r="S514" s="1">
        <v>1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2</v>
      </c>
      <c r="AA514">
        <v>0.91034999999999999</v>
      </c>
      <c r="AB514" s="1">
        <v>13.86</v>
      </c>
      <c r="AC514" s="1">
        <v>60</v>
      </c>
      <c r="AD514">
        <f t="shared" si="18"/>
        <v>23.1</v>
      </c>
      <c r="AE514" s="1">
        <v>5</v>
      </c>
      <c r="AF514" s="1">
        <v>609</v>
      </c>
      <c r="AG514" s="1">
        <v>19.600000000000001</v>
      </c>
      <c r="AH514" s="1">
        <v>51.3</v>
      </c>
      <c r="AI514" s="1">
        <v>6.92</v>
      </c>
      <c r="AJ514" s="1">
        <v>5.45</v>
      </c>
      <c r="AK514" s="1">
        <v>46.9</v>
      </c>
      <c r="AL514" s="1">
        <v>32.5</v>
      </c>
      <c r="AM514" s="1">
        <v>14</v>
      </c>
      <c r="AN514" s="1">
        <v>427</v>
      </c>
      <c r="AO514" s="1">
        <v>296</v>
      </c>
      <c r="AP514" s="1">
        <v>127</v>
      </c>
      <c r="AQ514">
        <f>AL514/AM514</f>
        <v>2.3214285714285716</v>
      </c>
      <c r="AR514" s="1">
        <v>1</v>
      </c>
      <c r="AS514" s="1">
        <v>0</v>
      </c>
      <c r="AT514" s="1">
        <v>1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2</v>
      </c>
      <c r="BE514" s="1">
        <v>2</v>
      </c>
      <c r="BF514" s="1">
        <v>1</v>
      </c>
      <c r="BG514" s="1">
        <v>33</v>
      </c>
      <c r="BH514" s="1">
        <v>290343.82</v>
      </c>
      <c r="BI514" s="1">
        <v>0</v>
      </c>
      <c r="BJ514" s="1">
        <v>1</v>
      </c>
    </row>
    <row r="515" spans="1:62" x14ac:dyDescent="0.3">
      <c r="A515" s="1">
        <v>2</v>
      </c>
      <c r="B515" s="1">
        <v>514</v>
      </c>
      <c r="C515" s="1" t="s">
        <v>97</v>
      </c>
      <c r="D515">
        <v>1</v>
      </c>
      <c r="E515" s="6">
        <v>43102</v>
      </c>
      <c r="F515" s="1" t="s">
        <v>52</v>
      </c>
      <c r="G515" s="1">
        <v>0</v>
      </c>
      <c r="H515" s="1">
        <v>1</v>
      </c>
      <c r="I515" s="1">
        <v>2</v>
      </c>
      <c r="J515" s="1" t="s">
        <v>192</v>
      </c>
      <c r="K515" s="1">
        <v>23.03</v>
      </c>
      <c r="L515" s="1">
        <v>0</v>
      </c>
      <c r="M515" s="1">
        <v>1</v>
      </c>
      <c r="N515" s="1">
        <v>1</v>
      </c>
      <c r="O515" s="1">
        <v>1</v>
      </c>
      <c r="P515" s="1">
        <v>1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2</v>
      </c>
      <c r="AA515">
        <v>0.45579999999999998</v>
      </c>
      <c r="AB515" s="1">
        <v>7.86</v>
      </c>
      <c r="AC515" s="1">
        <v>80</v>
      </c>
      <c r="AD515">
        <f t="shared" si="18"/>
        <v>9.8249999999999993</v>
      </c>
      <c r="AE515" s="1">
        <v>5</v>
      </c>
      <c r="AF515" s="1">
        <v>850</v>
      </c>
      <c r="AG515" s="1">
        <v>157</v>
      </c>
      <c r="AH515" s="1">
        <v>102</v>
      </c>
      <c r="AI515" s="1">
        <v>32.299999999999997</v>
      </c>
      <c r="AJ515" s="1">
        <v>22.1</v>
      </c>
      <c r="AK515" s="1">
        <v>68.099999999999994</v>
      </c>
      <c r="AL515" s="1">
        <v>36.9</v>
      </c>
      <c r="AM515" s="1">
        <v>30.2</v>
      </c>
      <c r="AN515" s="1">
        <v>620</v>
      </c>
      <c r="AO515" s="1">
        <v>336</v>
      </c>
      <c r="AP515" s="1">
        <v>275</v>
      </c>
      <c r="AQ515">
        <f>AL515/AM515</f>
        <v>1.2218543046357615</v>
      </c>
      <c r="AR515" s="1">
        <v>1</v>
      </c>
      <c r="AS515" s="1">
        <v>0</v>
      </c>
      <c r="AT515" s="1">
        <v>1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4</v>
      </c>
      <c r="BE515" s="1">
        <v>2</v>
      </c>
      <c r="BF515" s="1">
        <v>1</v>
      </c>
      <c r="BG515" s="1">
        <v>88</v>
      </c>
      <c r="BH515" s="1">
        <v>290878.36</v>
      </c>
      <c r="BI515" s="1">
        <v>1</v>
      </c>
      <c r="BJ515" s="1">
        <v>0</v>
      </c>
    </row>
    <row r="516" spans="1:62" x14ac:dyDescent="0.3">
      <c r="A516" s="1">
        <v>1</v>
      </c>
      <c r="B516">
        <v>515</v>
      </c>
      <c r="C516" s="1" t="s">
        <v>54</v>
      </c>
      <c r="D516">
        <v>0</v>
      </c>
      <c r="E516" s="6">
        <v>42515</v>
      </c>
      <c r="F516" s="1" t="s">
        <v>53</v>
      </c>
      <c r="G516" s="1">
        <v>0</v>
      </c>
      <c r="H516" s="1">
        <v>1</v>
      </c>
      <c r="I516" s="1">
        <v>1</v>
      </c>
      <c r="J516" s="1" t="s">
        <v>190</v>
      </c>
      <c r="K516" s="1">
        <v>18.690000000000001</v>
      </c>
      <c r="L516" s="1">
        <v>1</v>
      </c>
      <c r="M516" s="1">
        <v>1</v>
      </c>
      <c r="N516" s="1">
        <v>1</v>
      </c>
      <c r="O516" s="1">
        <v>1</v>
      </c>
      <c r="P516" s="1">
        <v>1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1</v>
      </c>
      <c r="X516" s="1">
        <v>0</v>
      </c>
      <c r="Y516" s="1">
        <v>0</v>
      </c>
      <c r="Z516" s="1">
        <v>2</v>
      </c>
      <c r="AA516">
        <v>0.55676000000000003</v>
      </c>
      <c r="AB516" s="1">
        <v>8.6300000000000008</v>
      </c>
      <c r="AC516" s="1">
        <v>21</v>
      </c>
      <c r="AD516">
        <f t="shared" si="18"/>
        <v>41.095238095238102</v>
      </c>
      <c r="AE516" s="1">
        <v>5</v>
      </c>
      <c r="AF516" s="1">
        <v>2018</v>
      </c>
      <c r="AG516" s="1">
        <v>92.2</v>
      </c>
      <c r="AH516" s="1">
        <v>149</v>
      </c>
      <c r="AI516" s="1">
        <v>73.7</v>
      </c>
      <c r="AJ516" s="1">
        <v>9.75</v>
      </c>
      <c r="AK516" s="1">
        <v>75.8</v>
      </c>
      <c r="AL516" s="1">
        <v>57.1</v>
      </c>
      <c r="AM516" s="1">
        <v>19</v>
      </c>
      <c r="AQ516">
        <f>AL516/AM516</f>
        <v>3.0052631578947371</v>
      </c>
      <c r="AR516" s="1">
        <v>1</v>
      </c>
      <c r="AS516" s="1">
        <v>1</v>
      </c>
      <c r="AT516" s="1">
        <v>1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2</v>
      </c>
      <c r="BF516" s="1">
        <v>1</v>
      </c>
      <c r="BG516" s="1">
        <v>83</v>
      </c>
      <c r="BH516" s="1">
        <v>291656.28999999998</v>
      </c>
      <c r="BI516" s="1">
        <v>0</v>
      </c>
      <c r="BJ516" s="1">
        <v>1</v>
      </c>
    </row>
    <row r="517" spans="1:62" x14ac:dyDescent="0.3">
      <c r="A517" s="1">
        <v>1</v>
      </c>
      <c r="B517" s="1">
        <v>516</v>
      </c>
      <c r="C517" s="1" t="s">
        <v>60</v>
      </c>
      <c r="D517">
        <v>0</v>
      </c>
      <c r="E517" s="6">
        <v>43112</v>
      </c>
      <c r="F517" s="1" t="s">
        <v>56</v>
      </c>
      <c r="G517" s="1">
        <v>0</v>
      </c>
      <c r="H517" s="1">
        <v>0</v>
      </c>
      <c r="I517" s="1">
        <v>2</v>
      </c>
      <c r="J517" s="1" t="s">
        <v>192</v>
      </c>
      <c r="K517" s="1">
        <v>25.34</v>
      </c>
      <c r="L517" s="1">
        <v>2</v>
      </c>
      <c r="M517" s="1">
        <v>1</v>
      </c>
      <c r="N517" s="1">
        <v>1</v>
      </c>
      <c r="O517" s="1">
        <v>0</v>
      </c>
      <c r="P517" s="1">
        <v>1</v>
      </c>
      <c r="Q517" s="1">
        <v>1</v>
      </c>
      <c r="R517" s="1">
        <v>1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1</v>
      </c>
      <c r="Z517" s="1">
        <v>2</v>
      </c>
      <c r="AA517">
        <v>0.82103999999999999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1</v>
      </c>
      <c r="BE517" s="1">
        <v>0</v>
      </c>
      <c r="BF517" s="1">
        <v>0</v>
      </c>
      <c r="BG517" s="1">
        <v>7</v>
      </c>
      <c r="BH517" s="1">
        <v>27668.959999999999</v>
      </c>
      <c r="BI517" s="1">
        <v>0</v>
      </c>
      <c r="BJ517" s="1">
        <v>0</v>
      </c>
    </row>
    <row r="518" spans="1:62" x14ac:dyDescent="0.3">
      <c r="A518" s="1">
        <v>1</v>
      </c>
      <c r="B518">
        <v>517</v>
      </c>
      <c r="C518" s="1" t="s">
        <v>77</v>
      </c>
      <c r="D518">
        <v>0</v>
      </c>
      <c r="E518" s="6">
        <v>43163</v>
      </c>
      <c r="F518" s="1" t="s">
        <v>85</v>
      </c>
      <c r="G518" s="1">
        <v>0</v>
      </c>
      <c r="H518" s="1">
        <v>0</v>
      </c>
      <c r="I518" s="1">
        <v>2</v>
      </c>
      <c r="J518" s="1" t="s">
        <v>191</v>
      </c>
      <c r="K518" s="1">
        <v>24.93</v>
      </c>
      <c r="L518" s="1">
        <v>0</v>
      </c>
      <c r="M518" s="1">
        <v>0</v>
      </c>
      <c r="N518" s="1">
        <v>1</v>
      </c>
      <c r="O518" s="1">
        <v>0</v>
      </c>
      <c r="P518" s="1">
        <v>0</v>
      </c>
      <c r="Q518" s="1">
        <v>1</v>
      </c>
      <c r="R518" s="1">
        <v>1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1</v>
      </c>
      <c r="AA518">
        <v>1.32</v>
      </c>
      <c r="AK518" s="1">
        <v>71.099999999999994</v>
      </c>
      <c r="AL518" s="1">
        <v>43.6</v>
      </c>
      <c r="AM518" s="1">
        <v>22.5</v>
      </c>
      <c r="AN518" s="1">
        <v>782</v>
      </c>
      <c r="AO518" s="1">
        <v>480</v>
      </c>
      <c r="AP518" s="1">
        <v>248</v>
      </c>
      <c r="AQ518">
        <f>AL518/AM518</f>
        <v>1.9377777777777778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v>0</v>
      </c>
      <c r="BG518" s="1">
        <v>5</v>
      </c>
      <c r="BH518" s="1">
        <v>16247.88</v>
      </c>
      <c r="BI518" s="1">
        <v>0</v>
      </c>
      <c r="BJ518" s="1">
        <v>0</v>
      </c>
    </row>
    <row r="519" spans="1:62" x14ac:dyDescent="0.3">
      <c r="A519">
        <v>1</v>
      </c>
      <c r="B519" s="1">
        <v>518</v>
      </c>
      <c r="C519" s="1" t="s">
        <v>60</v>
      </c>
      <c r="D519">
        <v>0</v>
      </c>
      <c r="E519" s="2">
        <v>43500</v>
      </c>
      <c r="F519" t="s">
        <v>53</v>
      </c>
      <c r="G519" s="1">
        <v>0</v>
      </c>
      <c r="H519" s="1">
        <v>1</v>
      </c>
      <c r="I519" s="1">
        <v>2</v>
      </c>
      <c r="J519" s="1" t="s">
        <v>196</v>
      </c>
      <c r="K519" s="1">
        <v>17.91</v>
      </c>
      <c r="L519" s="1">
        <v>0</v>
      </c>
      <c r="M519" s="1">
        <v>1</v>
      </c>
      <c r="N519" s="1">
        <v>1</v>
      </c>
      <c r="O519" s="1">
        <v>0</v>
      </c>
      <c r="P519" s="1">
        <v>1</v>
      </c>
      <c r="Q519" s="1">
        <v>1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2</v>
      </c>
      <c r="AA519">
        <f>13.25*0.198</f>
        <v>2.6234999999999999</v>
      </c>
      <c r="AK519">
        <v>85.8</v>
      </c>
      <c r="AL519">
        <v>42.7</v>
      </c>
      <c r="AM519">
        <v>39.6</v>
      </c>
      <c r="AN519">
        <v>901</v>
      </c>
      <c r="AO519">
        <v>448</v>
      </c>
      <c r="AP519">
        <v>416</v>
      </c>
      <c r="AQ519">
        <f>AL519/AM519</f>
        <v>1.0782828282828283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2</v>
      </c>
      <c r="BE519" s="1">
        <v>0</v>
      </c>
      <c r="BF519" s="1">
        <v>0</v>
      </c>
      <c r="BG519" s="1">
        <v>10</v>
      </c>
      <c r="BH519">
        <f>6224.63+5703+140+151+480+580+520+500+15.75</f>
        <v>14314.380000000001</v>
      </c>
      <c r="BI519" s="1">
        <v>0</v>
      </c>
      <c r="BJ519" s="1">
        <v>0</v>
      </c>
    </row>
    <row r="520" spans="1:62" x14ac:dyDescent="0.3">
      <c r="A520">
        <v>1</v>
      </c>
      <c r="B520" s="1">
        <v>519</v>
      </c>
      <c r="C520" s="1" t="s">
        <v>60</v>
      </c>
      <c r="D520">
        <v>0</v>
      </c>
      <c r="E520" s="2">
        <v>43500</v>
      </c>
      <c r="F520" t="s">
        <v>123</v>
      </c>
      <c r="G520" s="1">
        <v>1</v>
      </c>
      <c r="H520" s="1">
        <v>1</v>
      </c>
      <c r="I520" s="1">
        <v>2</v>
      </c>
      <c r="J520" s="1" t="s">
        <v>194</v>
      </c>
      <c r="K520" s="1">
        <v>31.11</v>
      </c>
      <c r="L520" s="1">
        <v>0</v>
      </c>
      <c r="M520" s="1">
        <v>1</v>
      </c>
      <c r="N520" s="1">
        <v>1</v>
      </c>
      <c r="O520" s="1">
        <v>1</v>
      </c>
      <c r="P520" s="1">
        <v>1</v>
      </c>
      <c r="Q520" s="1">
        <v>1</v>
      </c>
      <c r="R520" s="1">
        <v>1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2</v>
      </c>
      <c r="AA520">
        <f>4.25*0.091</f>
        <v>0.38674999999999998</v>
      </c>
      <c r="AB520" s="1">
        <v>11.45</v>
      </c>
      <c r="AC520" s="1">
        <v>100</v>
      </c>
      <c r="AD520">
        <f>AB520*100/AC520</f>
        <v>11.45</v>
      </c>
      <c r="AE520" s="1">
        <v>5</v>
      </c>
      <c r="AF520" s="1">
        <v>1105</v>
      </c>
      <c r="AG520" s="1">
        <v>13.2</v>
      </c>
      <c r="AH520" s="1">
        <v>16</v>
      </c>
      <c r="AI520" s="1">
        <v>5.43</v>
      </c>
      <c r="AJ520" s="1">
        <v>6.69</v>
      </c>
      <c r="AK520" s="1">
        <v>67.5</v>
      </c>
      <c r="AL520" s="1">
        <v>39.1</v>
      </c>
      <c r="AM520" s="1">
        <v>25.9</v>
      </c>
      <c r="AN520" s="1">
        <v>1418</v>
      </c>
      <c r="AO520" s="1">
        <v>821</v>
      </c>
      <c r="AP520" s="1">
        <v>544</v>
      </c>
      <c r="AQ520">
        <f>AL520/AM520</f>
        <v>1.5096525096525097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2</v>
      </c>
      <c r="BE520" s="1">
        <v>2</v>
      </c>
      <c r="BF520" s="1">
        <v>1</v>
      </c>
      <c r="BG520" s="1">
        <v>6</v>
      </c>
      <c r="BH520">
        <f>23581.47+9220+710+140+2719+50+576+2160+490+1095.85</f>
        <v>40742.32</v>
      </c>
      <c r="BI520" s="1">
        <v>1</v>
      </c>
      <c r="BJ520" s="1">
        <v>1</v>
      </c>
    </row>
    <row r="521" spans="1:62" x14ac:dyDescent="0.3">
      <c r="A521">
        <v>1</v>
      </c>
      <c r="B521">
        <v>520</v>
      </c>
      <c r="C521" s="1" t="s">
        <v>60</v>
      </c>
      <c r="D521">
        <v>0</v>
      </c>
      <c r="E521" s="2">
        <v>43497</v>
      </c>
      <c r="F521" t="s">
        <v>64</v>
      </c>
      <c r="G521" s="1">
        <v>1</v>
      </c>
      <c r="H521" s="1">
        <v>1</v>
      </c>
      <c r="I521" s="1">
        <v>2</v>
      </c>
      <c r="J521" s="1" t="s">
        <v>194</v>
      </c>
      <c r="K521" s="1">
        <v>30.22</v>
      </c>
      <c r="L521" s="1">
        <v>0</v>
      </c>
      <c r="M521" s="1">
        <v>1</v>
      </c>
      <c r="N521" s="1">
        <v>1</v>
      </c>
      <c r="O521" s="1">
        <v>0</v>
      </c>
      <c r="P521" s="1">
        <v>1</v>
      </c>
      <c r="Q521" s="1">
        <v>1</v>
      </c>
      <c r="R521" s="1">
        <v>1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2</v>
      </c>
      <c r="AA521">
        <v>0.3</v>
      </c>
      <c r="AB521" s="1">
        <v>9.8699999999999992</v>
      </c>
      <c r="AC521" s="1">
        <v>61</v>
      </c>
      <c r="AD521">
        <f>AB521*100/AC521</f>
        <v>16.180327868852459</v>
      </c>
      <c r="AE521" s="1">
        <v>5</v>
      </c>
      <c r="AF521" s="1">
        <v>1105</v>
      </c>
      <c r="AG521" s="1">
        <v>13.2</v>
      </c>
      <c r="AH521" s="1">
        <v>16</v>
      </c>
      <c r="AI521" s="1">
        <v>5.43</v>
      </c>
      <c r="AJ521" s="1">
        <v>6.69</v>
      </c>
      <c r="AK521">
        <v>51.1</v>
      </c>
      <c r="AL521">
        <v>28.3</v>
      </c>
      <c r="AM521">
        <v>22.2</v>
      </c>
      <c r="AN521">
        <v>261</v>
      </c>
      <c r="AO521">
        <v>144</v>
      </c>
      <c r="AP521">
        <v>113</v>
      </c>
      <c r="AQ521">
        <f>AL521/AM521</f>
        <v>1.2747747747747749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1</v>
      </c>
      <c r="BE521" s="1">
        <v>2</v>
      </c>
      <c r="BF521" s="1">
        <v>1</v>
      </c>
      <c r="BG521" s="1">
        <v>10</v>
      </c>
      <c r="BH521">
        <f>4507.89+28.95+8811+670+70+1183+384+232+360+200+68.25+23581.47+9220+710+140+2719+50+576+2160+490+1095.85</f>
        <v>57257.409999999996</v>
      </c>
      <c r="BI521" s="1">
        <v>1</v>
      </c>
      <c r="BJ521" s="1">
        <v>1</v>
      </c>
    </row>
    <row r="522" spans="1:62" x14ac:dyDescent="0.3">
      <c r="A522">
        <v>1</v>
      </c>
      <c r="B522" s="1">
        <v>521</v>
      </c>
      <c r="C522" t="s">
        <v>57</v>
      </c>
      <c r="D522">
        <v>0</v>
      </c>
      <c r="E522" s="2">
        <v>43498</v>
      </c>
      <c r="F522" t="s">
        <v>99</v>
      </c>
      <c r="G522" s="1">
        <v>0</v>
      </c>
      <c r="H522" s="1">
        <v>0</v>
      </c>
      <c r="I522" s="1">
        <v>2</v>
      </c>
      <c r="J522" s="1" t="s">
        <v>197</v>
      </c>
      <c r="K522" s="1">
        <v>21.45</v>
      </c>
      <c r="L522" s="1">
        <v>2</v>
      </c>
      <c r="M522" s="1">
        <v>1</v>
      </c>
      <c r="N522" s="1">
        <v>1</v>
      </c>
      <c r="O522" s="1">
        <v>0</v>
      </c>
      <c r="P522" s="1">
        <v>1</v>
      </c>
      <c r="Q522" s="1">
        <v>1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1</v>
      </c>
      <c r="AA522" s="1">
        <v>0.65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2</v>
      </c>
      <c r="BE522" s="1">
        <v>0</v>
      </c>
      <c r="BF522" s="1">
        <v>0</v>
      </c>
      <c r="BG522" s="1">
        <v>23</v>
      </c>
      <c r="BH522">
        <f>14144.71+160.85+8533+280+190+753+76+2250+945+1125+798.42</f>
        <v>29255.979999999996</v>
      </c>
      <c r="BI522" s="1">
        <v>0</v>
      </c>
      <c r="BJ522" s="1">
        <v>0</v>
      </c>
    </row>
    <row r="523" spans="1:62" x14ac:dyDescent="0.3">
      <c r="A523" s="1">
        <v>1</v>
      </c>
      <c r="B523">
        <v>522</v>
      </c>
      <c r="C523" s="1" t="s">
        <v>62</v>
      </c>
      <c r="D523">
        <v>0</v>
      </c>
      <c r="E523" s="6">
        <v>43129</v>
      </c>
      <c r="F523" s="1" t="s">
        <v>53</v>
      </c>
      <c r="G523" s="1">
        <v>0</v>
      </c>
      <c r="H523" s="1">
        <v>0</v>
      </c>
      <c r="I523" s="1">
        <v>2</v>
      </c>
      <c r="J523" s="1" t="s">
        <v>195</v>
      </c>
      <c r="K523" s="1">
        <v>20.55</v>
      </c>
      <c r="L523" s="1">
        <v>0</v>
      </c>
      <c r="M523" s="1">
        <v>1</v>
      </c>
      <c r="N523" s="1">
        <v>1</v>
      </c>
      <c r="O523" s="1">
        <v>0</v>
      </c>
      <c r="P523" s="1">
        <v>1</v>
      </c>
      <c r="Q523" s="1">
        <v>1</v>
      </c>
      <c r="R523" s="1">
        <v>0</v>
      </c>
      <c r="S523" s="1">
        <v>1</v>
      </c>
      <c r="T523" s="1">
        <v>0</v>
      </c>
      <c r="U523" s="1">
        <v>0</v>
      </c>
      <c r="V523" s="1">
        <v>1</v>
      </c>
      <c r="W523" s="1">
        <v>0</v>
      </c>
      <c r="X523" s="1">
        <v>0</v>
      </c>
      <c r="Y523" s="1">
        <v>0</v>
      </c>
      <c r="Z523" s="1">
        <v>1</v>
      </c>
      <c r="AA523">
        <v>1.9310999999999998</v>
      </c>
      <c r="AB523" s="1">
        <v>13.8</v>
      </c>
      <c r="AC523" s="1">
        <v>33</v>
      </c>
      <c r="AD523">
        <f>AB523*100/AC523</f>
        <v>41.81818181818182</v>
      </c>
      <c r="AK523" s="1">
        <v>83</v>
      </c>
      <c r="AL523" s="1">
        <v>49.7</v>
      </c>
      <c r="AM523" s="1">
        <v>30</v>
      </c>
      <c r="AN523" s="1">
        <v>1577</v>
      </c>
      <c r="AO523" s="1">
        <v>944</v>
      </c>
      <c r="AP523" s="1">
        <v>570</v>
      </c>
      <c r="AQ523">
        <f>AL523/AM523</f>
        <v>1.6566666666666667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1</v>
      </c>
      <c r="BE523" s="1">
        <v>0</v>
      </c>
      <c r="BF523" s="1">
        <v>0</v>
      </c>
      <c r="BG523" s="1">
        <v>8</v>
      </c>
      <c r="BH523" s="1">
        <v>8909.24</v>
      </c>
      <c r="BI523" s="1">
        <v>0</v>
      </c>
      <c r="BJ523" s="1">
        <v>1</v>
      </c>
    </row>
    <row r="524" spans="1:62" x14ac:dyDescent="0.3">
      <c r="A524">
        <v>2</v>
      </c>
      <c r="B524" s="1">
        <v>523</v>
      </c>
      <c r="C524" t="s">
        <v>69</v>
      </c>
      <c r="D524">
        <v>0</v>
      </c>
      <c r="E524" s="2">
        <v>43493</v>
      </c>
      <c r="F524" t="s">
        <v>78</v>
      </c>
      <c r="G524" s="1">
        <v>1</v>
      </c>
      <c r="H524" s="1">
        <v>1</v>
      </c>
      <c r="I524" s="1">
        <v>2</v>
      </c>
      <c r="J524" s="1" t="s">
        <v>191</v>
      </c>
      <c r="K524" s="1">
        <v>27.68</v>
      </c>
      <c r="L524" s="1">
        <v>1</v>
      </c>
      <c r="M524" s="1">
        <v>0</v>
      </c>
      <c r="N524" s="1">
        <v>0</v>
      </c>
      <c r="O524" s="1">
        <v>1</v>
      </c>
      <c r="P524" s="1">
        <v>0</v>
      </c>
      <c r="Q524" s="1">
        <v>0</v>
      </c>
      <c r="R524" s="1">
        <v>0</v>
      </c>
      <c r="S524" s="1">
        <v>0</v>
      </c>
      <c r="T524" s="1">
        <v>1</v>
      </c>
      <c r="U524" s="1">
        <v>1</v>
      </c>
      <c r="V524" s="1">
        <v>0</v>
      </c>
      <c r="W524" s="1">
        <v>0</v>
      </c>
      <c r="X524" s="1">
        <v>0</v>
      </c>
      <c r="Y524" s="1">
        <v>0</v>
      </c>
      <c r="Z524" s="1">
        <v>1</v>
      </c>
      <c r="AA524" s="1">
        <v>0.4</v>
      </c>
      <c r="AR524">
        <v>1</v>
      </c>
      <c r="AS524">
        <v>0</v>
      </c>
      <c r="AT524">
        <v>0</v>
      </c>
      <c r="AU524">
        <v>0</v>
      </c>
      <c r="AV524">
        <v>1</v>
      </c>
      <c r="AW524">
        <v>0</v>
      </c>
      <c r="AX524">
        <v>0</v>
      </c>
      <c r="AY524">
        <v>1</v>
      </c>
      <c r="AZ524">
        <v>0</v>
      </c>
      <c r="BA524">
        <v>0</v>
      </c>
      <c r="BB524">
        <v>0</v>
      </c>
      <c r="BC524">
        <v>0</v>
      </c>
      <c r="BD524">
        <v>3</v>
      </c>
      <c r="BE524" s="1">
        <v>2</v>
      </c>
      <c r="BF524" s="1">
        <v>1</v>
      </c>
      <c r="BG524" s="1">
        <v>22</v>
      </c>
      <c r="BH524">
        <f>91253.48+33834+18572+1120+17144+50479+22520+1344+5655+1575+375+102629.29</f>
        <v>346500.76999999996</v>
      </c>
      <c r="BI524" s="1">
        <v>0</v>
      </c>
      <c r="BJ524" s="1">
        <v>1</v>
      </c>
    </row>
    <row r="525" spans="1:62" x14ac:dyDescent="0.3">
      <c r="A525" s="1">
        <v>2</v>
      </c>
      <c r="B525" s="1">
        <v>524</v>
      </c>
      <c r="C525" s="1" t="s">
        <v>77</v>
      </c>
      <c r="D525">
        <v>0</v>
      </c>
      <c r="E525" s="6">
        <v>42636</v>
      </c>
      <c r="F525" s="1" t="s">
        <v>78</v>
      </c>
      <c r="G525" s="1">
        <v>1</v>
      </c>
      <c r="H525" s="1">
        <v>1</v>
      </c>
      <c r="I525" s="1">
        <v>2</v>
      </c>
      <c r="J525" s="1" t="s">
        <v>191</v>
      </c>
      <c r="K525" s="1">
        <v>20.96</v>
      </c>
      <c r="L525" s="1">
        <v>1</v>
      </c>
      <c r="M525" s="1">
        <v>0</v>
      </c>
      <c r="N525" s="1">
        <v>1</v>
      </c>
      <c r="O525" s="1">
        <v>1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1</v>
      </c>
      <c r="V525" s="1">
        <v>1</v>
      </c>
      <c r="W525" s="1">
        <v>0</v>
      </c>
      <c r="X525" s="1">
        <v>0</v>
      </c>
      <c r="Y525" s="1">
        <v>0</v>
      </c>
      <c r="Z525" s="1">
        <v>2</v>
      </c>
      <c r="AA525">
        <v>1.3097999999999999</v>
      </c>
      <c r="AK525">
        <v>68.400000000000006</v>
      </c>
      <c r="AL525">
        <v>47.5</v>
      </c>
      <c r="AM525">
        <v>20.3</v>
      </c>
      <c r="AQ525">
        <f>AL525/AM525</f>
        <v>2.3399014778325125</v>
      </c>
      <c r="AR525" s="1">
        <v>1</v>
      </c>
      <c r="AS525" s="1">
        <v>0</v>
      </c>
      <c r="AT525" s="1">
        <v>0</v>
      </c>
      <c r="AU525" s="1">
        <v>0</v>
      </c>
      <c r="AV525" s="1">
        <v>1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4</v>
      </c>
      <c r="BE525" s="1">
        <v>1</v>
      </c>
      <c r="BF525" s="1">
        <v>1</v>
      </c>
      <c r="BG525" s="1">
        <v>89</v>
      </c>
      <c r="BH525" s="1">
        <v>365672.02</v>
      </c>
      <c r="BI525" s="1">
        <v>0</v>
      </c>
      <c r="BJ525" s="1">
        <v>1</v>
      </c>
    </row>
    <row r="526" spans="1:62" x14ac:dyDescent="0.3">
      <c r="A526" s="1">
        <v>2</v>
      </c>
      <c r="B526">
        <v>525</v>
      </c>
      <c r="C526" s="1" t="s">
        <v>60</v>
      </c>
      <c r="D526">
        <v>0</v>
      </c>
      <c r="E526" s="6">
        <v>42321</v>
      </c>
      <c r="F526" s="1" t="s">
        <v>52</v>
      </c>
      <c r="G526" s="1">
        <v>1</v>
      </c>
      <c r="H526" s="1">
        <v>1</v>
      </c>
      <c r="I526" s="1">
        <v>2</v>
      </c>
      <c r="J526" s="1" t="s">
        <v>196</v>
      </c>
      <c r="K526" s="1">
        <v>16.98</v>
      </c>
      <c r="L526" s="1">
        <v>0</v>
      </c>
      <c r="M526" s="1">
        <v>1</v>
      </c>
      <c r="N526" s="1">
        <v>0</v>
      </c>
      <c r="O526" s="1">
        <v>0</v>
      </c>
      <c r="P526" s="1">
        <v>1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1</v>
      </c>
      <c r="Z526" s="1">
        <v>2</v>
      </c>
      <c r="AA526">
        <v>1.1410600000000002</v>
      </c>
      <c r="AB526" s="1">
        <v>20.329999999999998</v>
      </c>
      <c r="AC526" s="1">
        <v>50</v>
      </c>
      <c r="AD526">
        <f>AB526*100/AC526</f>
        <v>40.659999999999997</v>
      </c>
      <c r="AK526" s="1">
        <v>75.400000000000006</v>
      </c>
      <c r="AL526" s="1">
        <v>39.299999999999997</v>
      </c>
      <c r="AM526" s="1">
        <v>34.4</v>
      </c>
      <c r="AQ526">
        <f>AL526/AM526</f>
        <v>1.1424418604651163</v>
      </c>
      <c r="AR526">
        <v>1</v>
      </c>
      <c r="AS526">
        <v>1</v>
      </c>
      <c r="AT526">
        <v>0</v>
      </c>
      <c r="AU526">
        <v>0</v>
      </c>
      <c r="AV526">
        <v>1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 s="1">
        <v>4</v>
      </c>
      <c r="BE526" s="1">
        <v>1</v>
      </c>
      <c r="BF526" s="1">
        <v>1</v>
      </c>
      <c r="BG526" s="1">
        <v>91</v>
      </c>
      <c r="BH526" s="1">
        <v>488636.22</v>
      </c>
      <c r="BI526" s="1">
        <v>0</v>
      </c>
      <c r="BJ526" s="1">
        <v>1</v>
      </c>
    </row>
    <row r="527" spans="1:62" x14ac:dyDescent="0.3">
      <c r="A527" s="1">
        <v>1</v>
      </c>
      <c r="B527" s="1">
        <v>526</v>
      </c>
      <c r="C527" s="1" t="s">
        <v>51</v>
      </c>
      <c r="D527">
        <v>0</v>
      </c>
      <c r="E527" s="6">
        <v>42884</v>
      </c>
      <c r="F527" s="1" t="s">
        <v>85</v>
      </c>
      <c r="G527" s="1">
        <v>0</v>
      </c>
      <c r="H527" s="1">
        <v>0</v>
      </c>
      <c r="I527" s="1">
        <v>3</v>
      </c>
      <c r="J527" s="1" t="s">
        <v>185</v>
      </c>
      <c r="K527" s="1">
        <v>24.84</v>
      </c>
      <c r="L527" s="1">
        <v>0</v>
      </c>
      <c r="M527" s="1">
        <v>0</v>
      </c>
      <c r="N527" s="1">
        <v>1</v>
      </c>
      <c r="O527" s="1">
        <v>0</v>
      </c>
      <c r="P527" s="1">
        <v>0</v>
      </c>
      <c r="Q527" s="1">
        <v>1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1</v>
      </c>
      <c r="Y527" s="1">
        <v>0</v>
      </c>
      <c r="Z527" s="1">
        <v>1</v>
      </c>
      <c r="AA527">
        <v>2.35216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1</v>
      </c>
      <c r="BE527" s="1">
        <v>0</v>
      </c>
      <c r="BF527" s="1">
        <v>0</v>
      </c>
      <c r="BG527" s="1">
        <v>15</v>
      </c>
      <c r="BH527" s="1">
        <v>18502.97</v>
      </c>
      <c r="BI527" s="1">
        <v>0</v>
      </c>
      <c r="BJ527" s="1">
        <v>1</v>
      </c>
    </row>
    <row r="528" spans="1:62" x14ac:dyDescent="0.3">
      <c r="A528">
        <v>1</v>
      </c>
      <c r="B528">
        <v>527</v>
      </c>
      <c r="C528" t="s">
        <v>60</v>
      </c>
      <c r="D528">
        <v>0</v>
      </c>
      <c r="E528" s="2">
        <v>43531</v>
      </c>
      <c r="F528" t="s">
        <v>70</v>
      </c>
      <c r="G528" s="1">
        <v>0</v>
      </c>
      <c r="H528" s="1">
        <v>1</v>
      </c>
      <c r="I528" s="1">
        <v>1</v>
      </c>
      <c r="J528" s="1" t="s">
        <v>188</v>
      </c>
      <c r="K528" s="1">
        <v>18.95</v>
      </c>
      <c r="L528" s="1">
        <v>0</v>
      </c>
      <c r="M528" s="1">
        <v>1</v>
      </c>
      <c r="N528" s="1">
        <v>0</v>
      </c>
      <c r="O528" s="1">
        <v>1</v>
      </c>
      <c r="P528" s="1">
        <v>1</v>
      </c>
      <c r="Q528" s="1">
        <v>0</v>
      </c>
      <c r="R528" s="1">
        <v>1</v>
      </c>
      <c r="S528" s="1">
        <v>0</v>
      </c>
      <c r="T528" s="1">
        <v>0</v>
      </c>
      <c r="U528" s="1">
        <v>0</v>
      </c>
      <c r="V528" s="1">
        <v>0</v>
      </c>
      <c r="W528" s="1">
        <v>1</v>
      </c>
      <c r="X528" s="1">
        <v>0</v>
      </c>
      <c r="Y528" s="1">
        <v>0</v>
      </c>
      <c r="Z528" s="1">
        <v>2</v>
      </c>
      <c r="AA528" s="1">
        <v>0.45</v>
      </c>
      <c r="AB528">
        <f>128/7.5</f>
        <v>17.066666666666666</v>
      </c>
      <c r="AC528" s="1">
        <v>40</v>
      </c>
      <c r="AD528">
        <f>AB528*100/AC528</f>
        <v>42.666666666666671</v>
      </c>
      <c r="AE528" s="1">
        <v>5</v>
      </c>
      <c r="AF528">
        <v>1242</v>
      </c>
      <c r="AG528" s="1">
        <v>170</v>
      </c>
      <c r="AH528">
        <v>27</v>
      </c>
      <c r="AI528" s="1">
        <v>7.3</v>
      </c>
      <c r="AJ528">
        <v>51.2</v>
      </c>
      <c r="AK528" s="1">
        <v>79.099999999999994</v>
      </c>
      <c r="AL528">
        <v>37.799999999999997</v>
      </c>
      <c r="AM528" s="1">
        <v>40.9</v>
      </c>
      <c r="AN528">
        <v>356</v>
      </c>
      <c r="AO528" s="1">
        <v>170</v>
      </c>
      <c r="AP528">
        <v>184</v>
      </c>
      <c r="AQ528">
        <f>AL528/AM528</f>
        <v>0.92420537897310506</v>
      </c>
      <c r="AR528" s="1">
        <v>1</v>
      </c>
      <c r="AS528">
        <v>1</v>
      </c>
      <c r="AT528" s="1">
        <v>1</v>
      </c>
      <c r="AU528">
        <v>1</v>
      </c>
      <c r="AV528" s="1">
        <v>1</v>
      </c>
      <c r="AW528">
        <v>0</v>
      </c>
      <c r="AX528">
        <v>1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2</v>
      </c>
      <c r="BE528" s="1">
        <v>2</v>
      </c>
      <c r="BF528" s="1">
        <v>1</v>
      </c>
      <c r="BG528" s="1">
        <v>110</v>
      </c>
      <c r="BH528" s="1">
        <v>707364.05</v>
      </c>
      <c r="BI528" s="1">
        <v>1</v>
      </c>
      <c r="BJ528" s="1">
        <v>1</v>
      </c>
    </row>
    <row r="529" spans="1:62" x14ac:dyDescent="0.3">
      <c r="A529">
        <v>1</v>
      </c>
      <c r="B529" s="1">
        <v>528</v>
      </c>
      <c r="C529" s="1" t="s">
        <v>60</v>
      </c>
      <c r="D529">
        <v>0</v>
      </c>
      <c r="E529" s="6">
        <v>42598</v>
      </c>
      <c r="F529" s="1" t="s">
        <v>52</v>
      </c>
      <c r="G529" s="1">
        <v>0</v>
      </c>
      <c r="H529" s="1">
        <v>1</v>
      </c>
      <c r="I529" s="1">
        <v>2</v>
      </c>
      <c r="J529" s="1" t="s">
        <v>195</v>
      </c>
      <c r="K529" s="1">
        <v>21.72</v>
      </c>
      <c r="L529" s="1">
        <v>2</v>
      </c>
      <c r="M529" s="1">
        <v>1</v>
      </c>
      <c r="N529" s="1">
        <v>1</v>
      </c>
      <c r="O529" s="1">
        <v>1</v>
      </c>
      <c r="P529" s="1">
        <v>1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1</v>
      </c>
      <c r="Z529" s="1">
        <v>2</v>
      </c>
      <c r="AA529">
        <f>20.63*0.026</f>
        <v>0.53637999999999997</v>
      </c>
      <c r="AB529" s="1">
        <v>10.51</v>
      </c>
      <c r="AC529" s="1">
        <v>60</v>
      </c>
      <c r="AD529">
        <f>AB529*100/AC529</f>
        <v>17.516666666666666</v>
      </c>
      <c r="AE529" s="1">
        <v>5</v>
      </c>
      <c r="AF529" s="1">
        <v>1353</v>
      </c>
      <c r="AG529" s="1">
        <v>55.7</v>
      </c>
      <c r="AH529" s="1">
        <v>33.1</v>
      </c>
      <c r="AI529" s="1">
        <v>8.82</v>
      </c>
      <c r="AR529">
        <v>1</v>
      </c>
      <c r="AS529">
        <v>1</v>
      </c>
      <c r="AT529">
        <v>0</v>
      </c>
      <c r="AU529">
        <v>0</v>
      </c>
      <c r="AV529">
        <v>0</v>
      </c>
      <c r="AW529">
        <v>0</v>
      </c>
      <c r="AX529">
        <v>1</v>
      </c>
      <c r="AY529">
        <v>1</v>
      </c>
      <c r="AZ529">
        <v>0</v>
      </c>
      <c r="BA529">
        <v>0</v>
      </c>
      <c r="BB529">
        <v>0</v>
      </c>
      <c r="BC529">
        <v>0</v>
      </c>
      <c r="BD529">
        <v>3</v>
      </c>
      <c r="BE529" s="1">
        <v>2</v>
      </c>
      <c r="BF529" s="1">
        <v>1</v>
      </c>
      <c r="BG529" s="1">
        <v>100</v>
      </c>
      <c r="BH529" s="1">
        <v>1182465</v>
      </c>
      <c r="BI529" s="1">
        <v>0</v>
      </c>
      <c r="BJ529" s="1">
        <v>1</v>
      </c>
    </row>
  </sheetData>
  <autoFilter ref="A1:BJ529" xr:uid="{DAA63847-BE36-48A9-8187-94A66BCB8F60}"/>
  <sortState ref="A2:BJ530">
    <sortCondition ref="BH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羽茜</dc:creator>
  <cp:lastModifiedBy>羽茜</cp:lastModifiedBy>
  <dcterms:created xsi:type="dcterms:W3CDTF">2019-11-19T13:36:54Z</dcterms:created>
  <dcterms:modified xsi:type="dcterms:W3CDTF">2020-02-04T13:25:32Z</dcterms:modified>
</cp:coreProperties>
</file>