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27056\Dropbox\Elliot 2002\2018 Highlands basalt dino tracks\00 Table of measurements\"/>
    </mc:Choice>
  </mc:AlternateContent>
  <xr:revisionPtr revIDLastSave="0" documentId="13_ncr:1_{4079F45E-0098-4FA6-967B-A1BEF0DEC184}" xr6:coauthVersionLast="41" xr6:coauthVersionMax="41" xr10:uidLastSave="{00000000-0000-0000-0000-000000000000}"/>
  <bookViews>
    <workbookView xWindow="-110" yWindow="-110" windowWidth="19420" windowHeight="10420" tabRatio="722" activeTab="2" xr2:uid="{00000000-000D-0000-FFFF-FFFF00000000}"/>
  </bookViews>
  <sheets>
    <sheet name="Track data" sheetId="1" r:id="rId1"/>
    <sheet name="Trackway data" sheetId="4" r:id="rId2"/>
    <sheet name="Speeds" sheetId="3" r:id="rId3"/>
    <sheet name="Speed calculation sheet" sheetId="2" r:id="rId4"/>
    <sheet name="S&amp;B 2000 vs u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8" i="4" l="1"/>
  <c r="O27" i="1" l="1"/>
  <c r="N27" i="1"/>
  <c r="K27" i="1"/>
  <c r="H27" i="1"/>
  <c r="G27" i="1"/>
  <c r="F27" i="1"/>
  <c r="D27" i="1"/>
  <c r="C27" i="1"/>
  <c r="L26" i="1"/>
  <c r="J26" i="1"/>
  <c r="I26" i="1"/>
  <c r="E26" i="1"/>
  <c r="M25" i="1"/>
  <c r="L25" i="1"/>
  <c r="J25" i="1"/>
  <c r="I25" i="1"/>
  <c r="E25" i="1"/>
  <c r="M24" i="1"/>
  <c r="L24" i="1"/>
  <c r="J24" i="1"/>
  <c r="I24" i="1"/>
  <c r="E24" i="1"/>
  <c r="M23" i="1"/>
  <c r="L23" i="1"/>
  <c r="J23" i="1"/>
  <c r="I23" i="1"/>
  <c r="E23" i="1"/>
  <c r="L22" i="1"/>
  <c r="J22" i="1"/>
  <c r="I22" i="1"/>
  <c r="E22" i="1"/>
  <c r="L21" i="1"/>
  <c r="J21" i="1"/>
  <c r="I21" i="1"/>
  <c r="E21" i="1"/>
  <c r="M27" i="1" l="1"/>
  <c r="E27" i="1"/>
  <c r="L27" i="1"/>
  <c r="I27" i="1"/>
  <c r="J27" i="1"/>
  <c r="E29" i="1"/>
  <c r="E30" i="1"/>
  <c r="E31" i="1"/>
  <c r="D32" i="1"/>
  <c r="E34" i="1"/>
  <c r="E35" i="1"/>
  <c r="E32" i="1" l="1"/>
  <c r="R17" i="1"/>
  <c r="E18" i="4"/>
  <c r="E19" i="4"/>
  <c r="E20" i="4"/>
  <c r="E17" i="4"/>
  <c r="V19" i="4"/>
  <c r="E15" i="1" l="1"/>
  <c r="Q19" i="1" l="1"/>
  <c r="P19" i="1"/>
  <c r="R15" i="1"/>
  <c r="R19" i="1" s="1"/>
  <c r="J21" i="4"/>
  <c r="R21" i="4"/>
  <c r="U21" i="4"/>
  <c r="T21" i="4"/>
  <c r="AE21" i="4"/>
  <c r="V17" i="4"/>
  <c r="V21" i="4" s="1"/>
  <c r="L12" i="1"/>
  <c r="I12" i="1"/>
  <c r="J12" i="1"/>
  <c r="T16" i="4"/>
  <c r="Q13" i="1"/>
  <c r="R12" i="1"/>
  <c r="P13" i="1"/>
  <c r="E12" i="1"/>
  <c r="Q28" i="4" l="1"/>
  <c r="P28" i="4"/>
  <c r="O28" i="4"/>
  <c r="N28" i="4"/>
  <c r="J28" i="4"/>
  <c r="R49" i="4" l="1"/>
  <c r="G37" i="4"/>
  <c r="R16" i="4"/>
  <c r="D49" i="4"/>
  <c r="G49" i="4"/>
  <c r="I49" i="4"/>
  <c r="J49" i="4"/>
  <c r="N49" i="4"/>
  <c r="O49" i="4"/>
  <c r="P49" i="4"/>
  <c r="Q49" i="4"/>
  <c r="T49" i="4"/>
  <c r="U49" i="4"/>
  <c r="X49" i="4"/>
  <c r="Z49" i="4"/>
  <c r="AB49" i="4"/>
  <c r="AC49" i="4"/>
  <c r="AD49" i="4"/>
  <c r="AE49" i="4"/>
  <c r="AF49" i="4"/>
  <c r="AG49" i="4"/>
  <c r="AH49" i="4"/>
  <c r="AI49" i="4"/>
  <c r="AK49" i="4"/>
  <c r="C49" i="4"/>
  <c r="D37" i="4"/>
  <c r="C37" i="4"/>
  <c r="D32" i="4"/>
  <c r="G32" i="4"/>
  <c r="I32" i="4"/>
  <c r="C32" i="4"/>
  <c r="D21" i="4"/>
  <c r="E21" i="4"/>
  <c r="G21" i="4"/>
  <c r="I21" i="4"/>
  <c r="C21" i="4"/>
  <c r="D16" i="4"/>
  <c r="G16" i="4"/>
  <c r="I16" i="4"/>
  <c r="J16" i="4"/>
  <c r="M16" i="4"/>
  <c r="N16" i="4"/>
  <c r="O16" i="4"/>
  <c r="P16" i="4"/>
  <c r="Q16" i="4"/>
  <c r="U16" i="4"/>
  <c r="X16" i="4"/>
  <c r="Z16" i="4"/>
  <c r="AB16" i="4"/>
  <c r="AD16" i="4"/>
  <c r="AE16" i="4"/>
  <c r="AF16" i="4"/>
  <c r="AG16" i="4"/>
  <c r="AH16" i="4"/>
  <c r="AI16" i="4"/>
  <c r="AK16" i="4"/>
  <c r="C16" i="4"/>
  <c r="D28" i="4"/>
  <c r="E28" i="4"/>
  <c r="G28" i="4"/>
  <c r="I28" i="4"/>
  <c r="C28" i="4"/>
  <c r="AJ46" i="4"/>
  <c r="AL46" i="4" s="1"/>
  <c r="AJ45" i="4"/>
  <c r="AL45" i="4" s="1"/>
  <c r="AJ44" i="4"/>
  <c r="AL44" i="4" s="1"/>
  <c r="AJ43" i="4"/>
  <c r="AL43" i="4" s="1"/>
  <c r="AJ42" i="4"/>
  <c r="AL42" i="4" s="1"/>
  <c r="AJ41" i="4"/>
  <c r="AL41" i="4" s="1"/>
  <c r="AJ40" i="4"/>
  <c r="AL40" i="4" s="1"/>
  <c r="AJ39" i="4"/>
  <c r="AJ13" i="4"/>
  <c r="AL13" i="4" s="1"/>
  <c r="AJ12" i="4"/>
  <c r="AL12" i="4" s="1"/>
  <c r="AJ11" i="4"/>
  <c r="AL11" i="4" s="1"/>
  <c r="AJ10" i="4"/>
  <c r="AL10" i="4" s="1"/>
  <c r="AJ9" i="4"/>
  <c r="AL9" i="4" s="1"/>
  <c r="AL16" i="4" l="1"/>
  <c r="AJ49" i="4"/>
  <c r="AJ16" i="4"/>
  <c r="AL39" i="4"/>
  <c r="AL49" i="4" s="1"/>
  <c r="V48" i="4" l="1"/>
  <c r="V47" i="4"/>
  <c r="V46" i="4"/>
  <c r="V44" i="4"/>
  <c r="V42" i="4"/>
  <c r="V41" i="4"/>
  <c r="V40" i="4"/>
  <c r="V39" i="4"/>
  <c r="V15" i="4"/>
  <c r="V14" i="4"/>
  <c r="V13" i="4"/>
  <c r="V12" i="4"/>
  <c r="V11" i="4"/>
  <c r="V10" i="4"/>
  <c r="V9" i="4"/>
  <c r="K40" i="4"/>
  <c r="K10" i="4"/>
  <c r="E10" i="4"/>
  <c r="E11" i="4"/>
  <c r="E12" i="4"/>
  <c r="E13" i="4"/>
  <c r="E14" i="4"/>
  <c r="E15" i="4"/>
  <c r="E29" i="4"/>
  <c r="E30" i="4"/>
  <c r="E31" i="4"/>
  <c r="E33" i="4"/>
  <c r="E34" i="4"/>
  <c r="E35" i="4"/>
  <c r="E36" i="4"/>
  <c r="E39" i="4"/>
  <c r="E40" i="4"/>
  <c r="E41" i="4"/>
  <c r="E42" i="4"/>
  <c r="E43" i="4"/>
  <c r="E44" i="4"/>
  <c r="E45" i="4"/>
  <c r="E46" i="4"/>
  <c r="E47" i="4"/>
  <c r="E48" i="4"/>
  <c r="E9" i="4"/>
  <c r="E19" i="2"/>
  <c r="H19" i="2" s="1"/>
  <c r="D15" i="2"/>
  <c r="D16" i="2"/>
  <c r="D17" i="2"/>
  <c r="D18" i="2"/>
  <c r="D19" i="2"/>
  <c r="D20" i="2"/>
  <c r="D21" i="2"/>
  <c r="D14" i="2"/>
  <c r="E15" i="2"/>
  <c r="E16" i="2"/>
  <c r="E17" i="2"/>
  <c r="E18" i="2"/>
  <c r="E20" i="2"/>
  <c r="E21" i="2"/>
  <c r="E14" i="2"/>
  <c r="E5" i="2"/>
  <c r="E7" i="2"/>
  <c r="E4" i="2"/>
  <c r="D5" i="2"/>
  <c r="D7" i="2"/>
  <c r="D4" i="2"/>
  <c r="G4" i="2" s="1"/>
  <c r="J4" i="2" l="1"/>
  <c r="N4" i="2" s="1"/>
  <c r="E37" i="4"/>
  <c r="V49" i="4"/>
  <c r="E32" i="4"/>
  <c r="E16" i="4"/>
  <c r="V16" i="4"/>
  <c r="E49" i="4"/>
  <c r="I43" i="1" l="1"/>
  <c r="I44" i="1"/>
  <c r="I45" i="1"/>
  <c r="I46" i="1"/>
  <c r="I47" i="1"/>
  <c r="I48" i="1"/>
  <c r="I49" i="1"/>
  <c r="I50" i="1"/>
  <c r="I51" i="1"/>
  <c r="I42" i="1"/>
  <c r="I7" i="1"/>
  <c r="I8" i="1"/>
  <c r="I9" i="1"/>
  <c r="I10" i="1"/>
  <c r="I6" i="1"/>
  <c r="J7" i="1"/>
  <c r="J8" i="1"/>
  <c r="J9" i="1"/>
  <c r="J10" i="1"/>
  <c r="J6" i="1"/>
  <c r="J43" i="1"/>
  <c r="J44" i="1"/>
  <c r="J45" i="1"/>
  <c r="J46" i="1"/>
  <c r="J47" i="1"/>
  <c r="J48" i="1"/>
  <c r="J49" i="1"/>
  <c r="J50" i="1"/>
  <c r="J51" i="1"/>
  <c r="J42" i="1"/>
  <c r="G52" i="1"/>
  <c r="H52" i="1"/>
  <c r="F52" i="1"/>
  <c r="G13" i="1"/>
  <c r="H13" i="1"/>
  <c r="F13" i="1"/>
  <c r="I13" i="1" l="1"/>
  <c r="J52" i="1"/>
  <c r="J13" i="1"/>
  <c r="I52" i="1"/>
  <c r="R11" i="1" l="1"/>
  <c r="R10" i="1"/>
  <c r="R9" i="1"/>
  <c r="R8" i="1"/>
  <c r="R7" i="1"/>
  <c r="R6" i="1"/>
  <c r="R5" i="1"/>
  <c r="R51" i="1"/>
  <c r="R50" i="1"/>
  <c r="R49" i="1"/>
  <c r="R47" i="1"/>
  <c r="R45" i="1"/>
  <c r="R44" i="1"/>
  <c r="R43" i="1"/>
  <c r="R42" i="1"/>
  <c r="D52" i="1" l="1"/>
  <c r="K52" i="1"/>
  <c r="M52" i="1"/>
  <c r="N52" i="1"/>
  <c r="O52" i="1"/>
  <c r="P52" i="1"/>
  <c r="Q52" i="1"/>
  <c r="C52" i="1"/>
  <c r="L42" i="1"/>
  <c r="L43" i="1"/>
  <c r="L44" i="1"/>
  <c r="L45" i="1"/>
  <c r="L46" i="1"/>
  <c r="L47" i="1"/>
  <c r="L48" i="1"/>
  <c r="L49" i="1"/>
  <c r="L50" i="1"/>
  <c r="L51" i="1"/>
  <c r="E46" i="1"/>
  <c r="E49" i="1"/>
  <c r="E50" i="1"/>
  <c r="E51" i="1"/>
  <c r="E48" i="1"/>
  <c r="E47" i="1"/>
  <c r="E45" i="1"/>
  <c r="E44" i="1"/>
  <c r="E43" i="1"/>
  <c r="E42" i="1"/>
  <c r="D29" i="3"/>
  <c r="E29" i="3"/>
  <c r="F29" i="3"/>
  <c r="G29" i="3"/>
  <c r="H29" i="3"/>
  <c r="I29" i="3"/>
  <c r="J29" i="3"/>
  <c r="C29" i="3"/>
  <c r="L14" i="2"/>
  <c r="L15" i="2"/>
  <c r="L16" i="2"/>
  <c r="L17" i="2"/>
  <c r="L18" i="2"/>
  <c r="L19" i="2"/>
  <c r="L20" i="2"/>
  <c r="L21" i="2"/>
  <c r="I15" i="2"/>
  <c r="M15" i="2" s="1"/>
  <c r="I16" i="2"/>
  <c r="I17" i="2"/>
  <c r="I18" i="2"/>
  <c r="I19" i="2"/>
  <c r="I20" i="2"/>
  <c r="I21" i="2"/>
  <c r="I14" i="2"/>
  <c r="H14" i="2"/>
  <c r="K15" i="2"/>
  <c r="K16" i="2"/>
  <c r="H17" i="2"/>
  <c r="H18" i="2"/>
  <c r="K20" i="2"/>
  <c r="K21" i="2"/>
  <c r="J14" i="2"/>
  <c r="G15" i="2"/>
  <c r="G16" i="2"/>
  <c r="G17" i="2"/>
  <c r="J18" i="2"/>
  <c r="S18" i="2" s="1"/>
  <c r="G19" i="2"/>
  <c r="J20" i="2"/>
  <c r="J21" i="2"/>
  <c r="R13" i="1" l="1"/>
  <c r="H21" i="2"/>
  <c r="G21" i="2"/>
  <c r="K18" i="2"/>
  <c r="P18" i="2" s="1"/>
  <c r="G18" i="2"/>
  <c r="K14" i="2"/>
  <c r="P14" i="2" s="1"/>
  <c r="J19" i="2"/>
  <c r="S19" i="2" s="1"/>
  <c r="T19" i="2" s="1"/>
  <c r="J15" i="2"/>
  <c r="S15" i="2" s="1"/>
  <c r="T15" i="2" s="1"/>
  <c r="K19" i="2"/>
  <c r="P19" i="2" s="1"/>
  <c r="E52" i="1"/>
  <c r="S21" i="2"/>
  <c r="T21" i="2" s="1"/>
  <c r="R21" i="2"/>
  <c r="N21" i="2"/>
  <c r="P21" i="2"/>
  <c r="X21" i="2"/>
  <c r="Y21" i="2" s="1"/>
  <c r="W21" i="2"/>
  <c r="S20" i="2"/>
  <c r="T20" i="2" s="1"/>
  <c r="R20" i="2"/>
  <c r="N20" i="2"/>
  <c r="X16" i="2"/>
  <c r="Y16" i="2" s="1"/>
  <c r="W16" i="2"/>
  <c r="P16" i="2"/>
  <c r="P20" i="2"/>
  <c r="X20" i="2"/>
  <c r="Y20" i="2" s="1"/>
  <c r="W20" i="2"/>
  <c r="P15" i="2"/>
  <c r="Q15" i="2" s="1"/>
  <c r="X15" i="2"/>
  <c r="Y15" i="2" s="1"/>
  <c r="W15" i="2"/>
  <c r="R14" i="2"/>
  <c r="S14" i="2"/>
  <c r="T14" i="2" s="1"/>
  <c r="N14" i="2"/>
  <c r="G20" i="2"/>
  <c r="H20" i="2"/>
  <c r="M14" i="2"/>
  <c r="M21" i="2"/>
  <c r="M20" i="2"/>
  <c r="M19" i="2"/>
  <c r="R52" i="1"/>
  <c r="H16" i="2"/>
  <c r="J17" i="2"/>
  <c r="K17" i="2"/>
  <c r="M18" i="2"/>
  <c r="G14" i="2"/>
  <c r="H15" i="2"/>
  <c r="J16" i="2"/>
  <c r="M17" i="2"/>
  <c r="N18" i="2"/>
  <c r="R18" i="2"/>
  <c r="T18" i="2"/>
  <c r="M16" i="2"/>
  <c r="L52" i="1"/>
  <c r="R19" i="2" l="1"/>
  <c r="U19" i="2" s="1"/>
  <c r="V19" i="2" s="1"/>
  <c r="X14" i="2"/>
  <c r="Y14" i="2" s="1"/>
  <c r="O18" i="2"/>
  <c r="O20" i="2"/>
  <c r="W19" i="2"/>
  <c r="Q14" i="2"/>
  <c r="W14" i="2"/>
  <c r="X18" i="2"/>
  <c r="Y18" i="2" s="1"/>
  <c r="W18" i="2"/>
  <c r="Q21" i="2"/>
  <c r="Q20" i="2"/>
  <c r="R15" i="2"/>
  <c r="U15" i="2" s="1"/>
  <c r="V15" i="2" s="1"/>
  <c r="N19" i="2"/>
  <c r="O19" i="2" s="1"/>
  <c r="N15" i="2"/>
  <c r="O15" i="2" s="1"/>
  <c r="X19" i="2"/>
  <c r="Y19" i="2" s="1"/>
  <c r="O21" i="2"/>
  <c r="Q19" i="2"/>
  <c r="Z15" i="2"/>
  <c r="AA15" i="2" s="1"/>
  <c r="AC15" i="2" s="1"/>
  <c r="P17" i="2"/>
  <c r="Q17" i="2" s="1"/>
  <c r="X17" i="2"/>
  <c r="Y17" i="2" s="1"/>
  <c r="W17" i="2"/>
  <c r="U18" i="2"/>
  <c r="V18" i="2" s="1"/>
  <c r="S17" i="2"/>
  <c r="T17" i="2" s="1"/>
  <c r="R17" i="2"/>
  <c r="N17" i="2"/>
  <c r="O17" i="2" s="1"/>
  <c r="O14" i="2"/>
  <c r="Q16" i="2"/>
  <c r="Q18" i="2"/>
  <c r="U20" i="2"/>
  <c r="V20" i="2" s="1"/>
  <c r="U21" i="2"/>
  <c r="V21" i="2" s="1"/>
  <c r="Z20" i="2"/>
  <c r="AA20" i="2" s="1"/>
  <c r="Z21" i="2"/>
  <c r="AA21" i="2" s="1"/>
  <c r="S16" i="2"/>
  <c r="T16" i="2" s="1"/>
  <c r="R16" i="2"/>
  <c r="N16" i="2"/>
  <c r="O16" i="2" s="1"/>
  <c r="U14" i="2"/>
  <c r="V14" i="2" s="1"/>
  <c r="Z16" i="2"/>
  <c r="AA16" i="2" s="1"/>
  <c r="Z18" i="2" l="1"/>
  <c r="AA18" i="2" s="1"/>
  <c r="AC18" i="2" s="1"/>
  <c r="Z19" i="2"/>
  <c r="AA19" i="2" s="1"/>
  <c r="Z14" i="2"/>
  <c r="AA14" i="2" s="1"/>
  <c r="AC14" i="2" s="1"/>
  <c r="AB18" i="2"/>
  <c r="AB15" i="2"/>
  <c r="AC21" i="2"/>
  <c r="AB20" i="2"/>
  <c r="AC20" i="2"/>
  <c r="AB19" i="2"/>
  <c r="AC19" i="2"/>
  <c r="AB21" i="2"/>
  <c r="U16" i="2"/>
  <c r="V16" i="2" s="1"/>
  <c r="AB16" i="2" s="1"/>
  <c r="AC16" i="2"/>
  <c r="Z17" i="2"/>
  <c r="AA17" i="2" s="1"/>
  <c r="AC17" i="2" s="1"/>
  <c r="AB14" i="2"/>
  <c r="U17" i="2"/>
  <c r="V17" i="2" s="1"/>
  <c r="AB17" i="2" s="1"/>
  <c r="D38" i="1" l="1"/>
  <c r="E36" i="1"/>
  <c r="E37" i="1"/>
  <c r="E38" i="1" l="1"/>
  <c r="D19" i="1"/>
  <c r="C19" i="1"/>
  <c r="E17" i="1"/>
  <c r="E18" i="1"/>
  <c r="N13" i="1"/>
  <c r="O13" i="1"/>
  <c r="K13" i="1"/>
  <c r="L6" i="1"/>
  <c r="L9" i="1"/>
  <c r="L10" i="1"/>
  <c r="M7" i="1"/>
  <c r="M8" i="1"/>
  <c r="M9" i="1"/>
  <c r="L8" i="1"/>
  <c r="L7" i="1"/>
  <c r="M6" i="1"/>
  <c r="E5" i="1"/>
  <c r="E7" i="1"/>
  <c r="E8" i="1"/>
  <c r="E9" i="1"/>
  <c r="E10" i="1"/>
  <c r="E11" i="1"/>
  <c r="E6" i="1"/>
  <c r="L13" i="1" l="1"/>
  <c r="M13" i="1"/>
  <c r="E19" i="1"/>
  <c r="D12" i="3"/>
  <c r="E12" i="3"/>
  <c r="F12" i="3"/>
  <c r="G12" i="3"/>
  <c r="H12" i="3"/>
  <c r="I12" i="3"/>
  <c r="J12" i="3"/>
  <c r="C12" i="3"/>
  <c r="D17" i="3"/>
  <c r="E17" i="3"/>
  <c r="F17" i="3"/>
  <c r="G17" i="3"/>
  <c r="H17" i="3"/>
  <c r="I17" i="3"/>
  <c r="J17" i="3"/>
  <c r="D13" i="1"/>
  <c r="C13" i="1"/>
  <c r="E13" i="1" l="1"/>
  <c r="L8" i="2"/>
  <c r="L7" i="2"/>
  <c r="L6" i="2"/>
  <c r="L5" i="2"/>
  <c r="L4" i="2"/>
  <c r="I5" i="2"/>
  <c r="M5" i="2" s="1"/>
  <c r="I6" i="2"/>
  <c r="I7" i="2"/>
  <c r="M7" i="2" s="1"/>
  <c r="I8" i="2"/>
  <c r="M8" i="2" s="1"/>
  <c r="I4" i="2"/>
  <c r="M4" i="2" s="1"/>
  <c r="I11" i="2"/>
  <c r="M11" i="2" s="1"/>
  <c r="I12" i="2"/>
  <c r="I10" i="2"/>
  <c r="L11" i="2"/>
  <c r="L12" i="2"/>
  <c r="L10" i="2"/>
  <c r="C14" i="3"/>
  <c r="C15" i="3"/>
  <c r="C16" i="3"/>
  <c r="H4" i="2"/>
  <c r="H5" i="2"/>
  <c r="H7" i="2"/>
  <c r="G5" i="2"/>
  <c r="G7" i="2"/>
  <c r="C8" i="2"/>
  <c r="C6" i="2"/>
  <c r="C12" i="2"/>
  <c r="D12" i="2" s="1"/>
  <c r="G12" i="2" s="1"/>
  <c r="C11" i="2"/>
  <c r="E11" i="2" s="1"/>
  <c r="H11" i="2" s="1"/>
  <c r="C10" i="2"/>
  <c r="D10" i="2" s="1"/>
  <c r="G10" i="2" s="1"/>
  <c r="E8" i="2" l="1"/>
  <c r="D8" i="2"/>
  <c r="G8" i="2" s="1"/>
  <c r="D6" i="2"/>
  <c r="E6" i="2"/>
  <c r="H6" i="2" s="1"/>
  <c r="K11" i="2"/>
  <c r="P11" i="2" s="1"/>
  <c r="K7" i="2"/>
  <c r="X7" i="2" s="1"/>
  <c r="Y7" i="2" s="1"/>
  <c r="K5" i="2"/>
  <c r="P5" i="2" s="1"/>
  <c r="E10" i="2"/>
  <c r="H10" i="2" s="1"/>
  <c r="J7" i="2"/>
  <c r="S7" i="2" s="1"/>
  <c r="M6" i="2"/>
  <c r="M10" i="2"/>
  <c r="M12" i="2"/>
  <c r="J5" i="2"/>
  <c r="K4" i="2"/>
  <c r="C17" i="3"/>
  <c r="J12" i="2"/>
  <c r="E12" i="2"/>
  <c r="D11" i="2"/>
  <c r="J11" i="2" s="1"/>
  <c r="K10" i="2" l="1"/>
  <c r="J8" i="2"/>
  <c r="R8" i="2" s="1"/>
  <c r="K6" i="2"/>
  <c r="X6" i="2" s="1"/>
  <c r="Y6" i="2" s="1"/>
  <c r="W7" i="2"/>
  <c r="Z7" i="2" s="1"/>
  <c r="AA7" i="2" s="1"/>
  <c r="X11" i="2"/>
  <c r="Y11" i="2" s="1"/>
  <c r="P7" i="2"/>
  <c r="Q7" i="2" s="1"/>
  <c r="W11" i="2"/>
  <c r="Z11" i="2" s="1"/>
  <c r="AA11" i="2" s="1"/>
  <c r="W10" i="2"/>
  <c r="X10" i="2"/>
  <c r="Y10" i="2" s="1"/>
  <c r="P10" i="2"/>
  <c r="Q10" i="2" s="1"/>
  <c r="X4" i="2"/>
  <c r="Y4" i="2" s="1"/>
  <c r="W4" i="2"/>
  <c r="P4" i="2"/>
  <c r="Q4" i="2" s="1"/>
  <c r="J10" i="2"/>
  <c r="R10" i="2" s="1"/>
  <c r="G6" i="2"/>
  <c r="J6" i="2"/>
  <c r="S12" i="2"/>
  <c r="T12" i="2" s="1"/>
  <c r="R12" i="2"/>
  <c r="N12" i="2"/>
  <c r="O12" i="2" s="1"/>
  <c r="P6" i="2"/>
  <c r="Q6" i="2" s="1"/>
  <c r="S4" i="2"/>
  <c r="T4" i="2" s="1"/>
  <c r="R4" i="2"/>
  <c r="O4" i="2"/>
  <c r="X5" i="2"/>
  <c r="Y5" i="2" s="1"/>
  <c r="W5" i="2"/>
  <c r="Q5" i="2"/>
  <c r="S5" i="2"/>
  <c r="T5" i="2" s="1"/>
  <c r="R5" i="2"/>
  <c r="N5" i="2"/>
  <c r="O5" i="2" s="1"/>
  <c r="T7" i="2"/>
  <c r="R7" i="2"/>
  <c r="N7" i="2"/>
  <c r="O7" i="2" s="1"/>
  <c r="H8" i="2"/>
  <c r="K8" i="2"/>
  <c r="Q11" i="2"/>
  <c r="H12" i="2"/>
  <c r="K12" i="2"/>
  <c r="G11" i="2"/>
  <c r="N8" i="2" l="1"/>
  <c r="O8" i="2" s="1"/>
  <c r="W6" i="2"/>
  <c r="S8" i="2"/>
  <c r="T8" i="2" s="1"/>
  <c r="U8" i="2" s="1"/>
  <c r="V8" i="2" s="1"/>
  <c r="AB8" i="2" s="1"/>
  <c r="AC7" i="2"/>
  <c r="AC11" i="2"/>
  <c r="U12" i="2"/>
  <c r="V12" i="2" s="1"/>
  <c r="AB12" i="2" s="1"/>
  <c r="Z10" i="2"/>
  <c r="AA10" i="2" s="1"/>
  <c r="AC10" i="2" s="1"/>
  <c r="U5" i="2"/>
  <c r="V5" i="2" s="1"/>
  <c r="AB5" i="2" s="1"/>
  <c r="U4" i="2"/>
  <c r="V4" i="2" s="1"/>
  <c r="AB4" i="2" s="1"/>
  <c r="Z6" i="2"/>
  <c r="AA6" i="2" s="1"/>
  <c r="AC6" i="2" s="1"/>
  <c r="S6" i="2"/>
  <c r="T6" i="2" s="1"/>
  <c r="R6" i="2"/>
  <c r="N6" i="2"/>
  <c r="O6" i="2" s="1"/>
  <c r="S10" i="2"/>
  <c r="T10" i="2" s="1"/>
  <c r="N10" i="2"/>
  <c r="O10" i="2" s="1"/>
  <c r="X8" i="2"/>
  <c r="Y8" i="2" s="1"/>
  <c r="W8" i="2"/>
  <c r="P8" i="2"/>
  <c r="Q8" i="2" s="1"/>
  <c r="Z4" i="2"/>
  <c r="AA4" i="2" s="1"/>
  <c r="AC4" i="2" s="1"/>
  <c r="R11" i="2"/>
  <c r="S11" i="2"/>
  <c r="T11" i="2" s="1"/>
  <c r="N11" i="2"/>
  <c r="O11" i="2" s="1"/>
  <c r="X12" i="2"/>
  <c r="Y12" i="2" s="1"/>
  <c r="W12" i="2"/>
  <c r="P12" i="2"/>
  <c r="Q12" i="2" s="1"/>
  <c r="U7" i="2"/>
  <c r="V7" i="2" s="1"/>
  <c r="AB7" i="2" s="1"/>
  <c r="Z5" i="2"/>
  <c r="AA5" i="2" s="1"/>
  <c r="AC5" i="2" s="1"/>
  <c r="Z12" i="2" l="1"/>
  <c r="AA12" i="2" s="1"/>
  <c r="U6" i="2"/>
  <c r="V6" i="2" s="1"/>
  <c r="AB6" i="2" s="1"/>
  <c r="U11" i="2"/>
  <c r="V11" i="2" s="1"/>
  <c r="AB11" i="2" s="1"/>
  <c r="U10" i="2"/>
  <c r="V10" i="2" s="1"/>
  <c r="AB10" i="2" s="1"/>
  <c r="AC12" i="2"/>
  <c r="Z8" i="2"/>
  <c r="AA8" i="2" s="1"/>
  <c r="AC8" i="2" s="1"/>
</calcChain>
</file>

<file path=xl/sharedStrings.xml><?xml version="1.0" encoding="utf-8"?>
<sst xmlns="http://schemas.openxmlformats.org/spreadsheetml/2006/main" count="1195" uniqueCount="151">
  <si>
    <t>Footprint #</t>
  </si>
  <si>
    <t>Toe extension (te)</t>
  </si>
  <si>
    <t>total divarication II^IV</t>
  </si>
  <si>
    <t>II^III</t>
  </si>
  <si>
    <t>III^IV</t>
  </si>
  <si>
    <t>Average</t>
  </si>
  <si>
    <t>Trackway A</t>
  </si>
  <si>
    <t>N/A</t>
  </si>
  <si>
    <t>Average FL</t>
  </si>
  <si>
    <t>stride</t>
  </si>
  <si>
    <t>h (allometric)</t>
  </si>
  <si>
    <t>h (morphometric)</t>
  </si>
  <si>
    <t>gait (stride/h)</t>
  </si>
  <si>
    <t>1 to 3</t>
  </si>
  <si>
    <t>2 to 4</t>
  </si>
  <si>
    <t>3 to 5</t>
  </si>
  <si>
    <t>allo</t>
  </si>
  <si>
    <t>morpho</t>
  </si>
  <si>
    <t>gait</t>
  </si>
  <si>
    <t>4 to 6</t>
  </si>
  <si>
    <t>5 to 7</t>
  </si>
  <si>
    <t>Track #</t>
  </si>
  <si>
    <t>Allometric</t>
  </si>
  <si>
    <t>Stride</t>
  </si>
  <si>
    <t>Morphometric</t>
  </si>
  <si>
    <t>speed</t>
  </si>
  <si>
    <t>0.25*g^0.5</t>
  </si>
  <si>
    <t>a</t>
  </si>
  <si>
    <t>b</t>
  </si>
  <si>
    <t>stride ^1.67</t>
  </si>
  <si>
    <t>h^-1.17</t>
  </si>
  <si>
    <t>a*b*c</t>
  </si>
  <si>
    <t>stride (m)</t>
  </si>
  <si>
    <t>h (m)</t>
  </si>
  <si>
    <t>c allo</t>
  </si>
  <si>
    <t>c morpho</t>
  </si>
  <si>
    <t>h ^ -1.17</t>
  </si>
  <si>
    <t>gh</t>
  </si>
  <si>
    <t>1.8h</t>
  </si>
  <si>
    <t>(stride/1.8h)^2.56</t>
  </si>
  <si>
    <t>allo  a</t>
  </si>
  <si>
    <t>c=a*b</t>
  </si>
  <si>
    <t>c^0.5</t>
  </si>
  <si>
    <t>c</t>
  </si>
  <si>
    <t>speed with gait &lt;2</t>
  </si>
  <si>
    <t>gait &gt;2.9</t>
  </si>
  <si>
    <t>2.0&lt;gait&lt;2.9</t>
  </si>
  <si>
    <t>combination</t>
  </si>
  <si>
    <t>0.6*</t>
  </si>
  <si>
    <t>A</t>
  </si>
  <si>
    <t>B</t>
  </si>
  <si>
    <t>C</t>
  </si>
  <si>
    <t>Trackway  D</t>
  </si>
  <si>
    <t>*1.8</t>
  </si>
  <si>
    <t>*3</t>
  </si>
  <si>
    <t>Trackway C</t>
  </si>
  <si>
    <t>D</t>
  </si>
  <si>
    <t>Trackway  E</t>
  </si>
  <si>
    <t>Trackway</t>
  </si>
  <si>
    <t>Footprint No.</t>
  </si>
  <si>
    <t>FL</t>
  </si>
  <si>
    <t>FW</t>
  </si>
  <si>
    <t>FL/FW ratio</t>
  </si>
  <si>
    <t>Digits (Y/N)</t>
  </si>
  <si>
    <t xml:space="preserve">No. of P digits </t>
  </si>
  <si>
    <t>PR</t>
  </si>
  <si>
    <t>Handprint (Y/N)</t>
  </si>
  <si>
    <t>ML</t>
  </si>
  <si>
    <t>MW</t>
  </si>
  <si>
    <t xml:space="preserve">No. of M digits </t>
  </si>
  <si>
    <t>MR</t>
  </si>
  <si>
    <t>PP</t>
  </si>
  <si>
    <t>PS</t>
  </si>
  <si>
    <t>MP</t>
  </si>
  <si>
    <t>MS</t>
  </si>
  <si>
    <t xml:space="preserve">P-M Distance </t>
  </si>
  <si>
    <t>Y</t>
  </si>
  <si>
    <t>1 to 2</t>
  </si>
  <si>
    <t>2 to 3</t>
  </si>
  <si>
    <t>3 to 4</t>
  </si>
  <si>
    <t>4 to 5</t>
  </si>
  <si>
    <t>5 to 6</t>
  </si>
  <si>
    <t>6 to 7</t>
  </si>
  <si>
    <t>–</t>
  </si>
  <si>
    <t>unclear</t>
  </si>
  <si>
    <t>N</t>
  </si>
  <si>
    <t>Trackway Width</t>
  </si>
  <si>
    <t>Trackway Length</t>
  </si>
  <si>
    <t>No. of Manus traces</t>
  </si>
  <si>
    <t>No. of Pes Traces</t>
  </si>
  <si>
    <t>yes</t>
  </si>
  <si>
    <t>E</t>
  </si>
  <si>
    <t>LII</t>
  </si>
  <si>
    <t>LIII</t>
  </si>
  <si>
    <t>LIV</t>
  </si>
  <si>
    <t>TRp</t>
  </si>
  <si>
    <t>TRm</t>
  </si>
  <si>
    <t>6 to 8</t>
  </si>
  <si>
    <t>7 to 9</t>
  </si>
  <si>
    <t>8 to 10</t>
  </si>
  <si>
    <t>7 to 8</t>
  </si>
  <si>
    <t>8 to 9</t>
  </si>
  <si>
    <t>9 to 10</t>
  </si>
  <si>
    <t>35.3</t>
  </si>
  <si>
    <t>34.5</t>
  </si>
  <si>
    <t>42.8</t>
  </si>
  <si>
    <t>41.8</t>
  </si>
  <si>
    <t>40.4</t>
  </si>
  <si>
    <t>2,3,</t>
  </si>
  <si>
    <t>SWL</t>
  </si>
  <si>
    <t>OW</t>
  </si>
  <si>
    <t>PTR</t>
  </si>
  <si>
    <t>Manus Length (ML)</t>
  </si>
  <si>
    <t>Manus Width (MW)</t>
  </si>
  <si>
    <t>Foot Width (FW)</t>
  </si>
  <si>
    <t>Foot Length (FL)</t>
  </si>
  <si>
    <t>te/FW</t>
  </si>
  <si>
    <t>3 or 4</t>
  </si>
  <si>
    <t>SWR</t>
  </si>
  <si>
    <t>SWM</t>
  </si>
  <si>
    <t>Chewore Trackway (Lingham-Soliar and Borderick, 2000)</t>
  </si>
  <si>
    <t>Chewore trackway (Lingham-Soliar and Borderick, 2000)</t>
  </si>
  <si>
    <t>ML/MW ratio</t>
  </si>
  <si>
    <t>Chewore</t>
  </si>
  <si>
    <t>ATL/FW ratio</t>
  </si>
  <si>
    <t>ATL</t>
  </si>
  <si>
    <t>The best track, best defined  digits</t>
  </si>
  <si>
    <t>length unclear*</t>
  </si>
  <si>
    <t>ATW</t>
  </si>
  <si>
    <t>AT angle</t>
  </si>
  <si>
    <t>ATL/ATW ratio</t>
  </si>
  <si>
    <t>P ANG</t>
  </si>
  <si>
    <t>PTW</t>
  </si>
  <si>
    <t>M ANG</t>
  </si>
  <si>
    <t>MTW</t>
  </si>
  <si>
    <t>Pace</t>
  </si>
  <si>
    <t>Pace angulation</t>
  </si>
  <si>
    <t>Track width</t>
  </si>
  <si>
    <t>Print length</t>
  </si>
  <si>
    <t>7,4*</t>
  </si>
  <si>
    <t>poorly defined track</t>
  </si>
  <si>
    <t>Trackway B</t>
  </si>
  <si>
    <t>Highlands trackways (this study)</t>
  </si>
  <si>
    <t>not our method!</t>
  </si>
  <si>
    <t>Green =  measured by us from photo via ImageJ</t>
  </si>
  <si>
    <t>Chewore  (Lingham-Soliar and Broderick, 2000)</t>
  </si>
  <si>
    <t>Chewore trackway measurements</t>
  </si>
  <si>
    <t>Red = measured in the field by Lingham-Soliar and Broderick, 2000 (see their Table II).</t>
  </si>
  <si>
    <t>Steps</t>
  </si>
  <si>
    <t>?Y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</si>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</sst>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"/>
    <numFmt numFmtId="167" formatCode="0.00000"/>
    <numFmt numFmtId="168" formatCode="#,##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</font>
    <font>
      <sz val="11"/>
      <color rgb="FFFFC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21" fillId="13" borderId="0" applyNumberFormat="0" applyBorder="0" applyAlignment="0" applyProtection="0"/>
  </cellStyleXfs>
  <cellXfs count="395">
    <xf numFmtId="0" fontId="0" fillId="0" borderId="0" xfId="0"/>
    <xf numFmtId="0" fontId="0" fillId="3" borderId="0" xfId="0" applyFill="1"/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" fontId="0" fillId="0" borderId="0" xfId="0" applyNumberFormat="1"/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16" fontId="0" fillId="3" borderId="1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0" fontId="0" fillId="4" borderId="0" xfId="0" applyFill="1"/>
    <xf numFmtId="164" fontId="0" fillId="4" borderId="0" xfId="0" applyNumberFormat="1" applyFill="1"/>
    <xf numFmtId="166" fontId="0" fillId="4" borderId="0" xfId="0" applyNumberFormat="1" applyFill="1"/>
    <xf numFmtId="0" fontId="0" fillId="5" borderId="0" xfId="0" applyFill="1"/>
    <xf numFmtId="0" fontId="4" fillId="6" borderId="0" xfId="0" applyFont="1" applyFill="1"/>
    <xf numFmtId="0" fontId="0" fillId="6" borderId="0" xfId="0" applyFill="1"/>
    <xf numFmtId="167" fontId="0" fillId="5" borderId="0" xfId="0" applyNumberFormat="1" applyFill="1"/>
    <xf numFmtId="164" fontId="0" fillId="3" borderId="14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/>
    <xf numFmtId="0" fontId="1" fillId="3" borderId="5" xfId="0" applyFont="1" applyFill="1" applyBorder="1" applyAlignment="1">
      <alignment horizontal="center"/>
    </xf>
    <xf numFmtId="164" fontId="0" fillId="5" borderId="0" xfId="0" applyNumberFormat="1" applyFill="1"/>
    <xf numFmtId="164" fontId="0" fillId="6" borderId="0" xfId="0" applyNumberFormat="1" applyFill="1"/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/>
    </xf>
    <xf numFmtId="164" fontId="0" fillId="3" borderId="32" xfId="0" applyNumberForma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0" xfId="0" applyFill="1" applyBorder="1"/>
    <xf numFmtId="0" fontId="1" fillId="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10" borderId="0" xfId="1"/>
    <xf numFmtId="164" fontId="0" fillId="0" borderId="0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3" borderId="31" xfId="0" applyNumberForma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" fontId="0" fillId="3" borderId="24" xfId="0" applyNumberForma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/>
    </xf>
    <xf numFmtId="164" fontId="0" fillId="3" borderId="24" xfId="0" applyNumberFormat="1" applyFill="1" applyBorder="1" applyAlignment="1">
      <alignment horizontal="left" indent="1"/>
    </xf>
    <xf numFmtId="0" fontId="1" fillId="2" borderId="20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68" fontId="0" fillId="3" borderId="11" xfId="0" applyNumberForma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10" borderId="0" xfId="1" applyBorder="1" applyAlignment="1">
      <alignment horizontal="center" vertical="center"/>
    </xf>
    <xf numFmtId="164" fontId="14" fillId="10" borderId="0" xfId="1" applyNumberFormat="1" applyBorder="1" applyAlignment="1">
      <alignment horizontal="center" vertical="center"/>
    </xf>
    <xf numFmtId="164" fontId="14" fillId="10" borderId="11" xfId="1" applyNumberFormat="1" applyBorder="1" applyAlignment="1">
      <alignment horizontal="center"/>
    </xf>
    <xf numFmtId="0" fontId="14" fillId="10" borderId="0" xfId="1" applyBorder="1" applyAlignment="1">
      <alignment horizontal="center"/>
    </xf>
    <xf numFmtId="16" fontId="14" fillId="10" borderId="0" xfId="1" applyNumberFormat="1" applyBorder="1" applyAlignment="1">
      <alignment horizontal="center" vertical="center"/>
    </xf>
    <xf numFmtId="164" fontId="14" fillId="10" borderId="0" xfId="1" applyNumberFormat="1" applyBorder="1" applyAlignment="1">
      <alignment horizontal="center"/>
    </xf>
    <xf numFmtId="0" fontId="14" fillId="10" borderId="11" xfId="1" applyBorder="1" applyAlignment="1">
      <alignment horizontal="center"/>
    </xf>
    <xf numFmtId="0" fontId="14" fillId="10" borderId="12" xfId="1" applyBorder="1"/>
    <xf numFmtId="0" fontId="14" fillId="10" borderId="33" xfId="1" applyBorder="1" applyAlignment="1">
      <alignment horizontal="center"/>
    </xf>
    <xf numFmtId="164" fontId="14" fillId="10" borderId="2" xfId="1" applyNumberFormat="1" applyBorder="1" applyAlignment="1">
      <alignment horizontal="center" vertical="center"/>
    </xf>
    <xf numFmtId="164" fontId="14" fillId="10" borderId="3" xfId="1" applyNumberFormat="1" applyBorder="1" applyAlignment="1">
      <alignment horizontal="center" vertical="center"/>
    </xf>
    <xf numFmtId="0" fontId="21" fillId="13" borderId="0" xfId="3" applyBorder="1" applyAlignment="1">
      <alignment horizontal="center"/>
    </xf>
    <xf numFmtId="0" fontId="21" fillId="13" borderId="0" xfId="3" applyBorder="1" applyAlignment="1">
      <alignment horizontal="center" vertical="center"/>
    </xf>
    <xf numFmtId="164" fontId="21" fillId="13" borderId="0" xfId="3" applyNumberFormat="1" applyBorder="1" applyAlignment="1">
      <alignment horizontal="center" vertical="center"/>
    </xf>
    <xf numFmtId="2" fontId="21" fillId="13" borderId="11" xfId="3" applyNumberFormat="1" applyBorder="1" applyAlignment="1">
      <alignment horizontal="center" vertical="center"/>
    </xf>
    <xf numFmtId="0" fontId="21" fillId="13" borderId="11" xfId="3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4" fillId="10" borderId="8" xfId="1" applyBorder="1" applyAlignment="1">
      <alignment horizontal="center" vertical="center"/>
    </xf>
    <xf numFmtId="164" fontId="14" fillId="10" borderId="8" xfId="1" applyNumberFormat="1" applyBorder="1" applyAlignment="1">
      <alignment horizontal="center" vertical="center"/>
    </xf>
    <xf numFmtId="164" fontId="14" fillId="10" borderId="9" xfId="1" applyNumberFormat="1" applyBorder="1" applyAlignment="1">
      <alignment horizontal="center"/>
    </xf>
    <xf numFmtId="164" fontId="0" fillId="3" borderId="0" xfId="0" applyNumberFormat="1" applyFill="1" applyBorder="1"/>
    <xf numFmtId="164" fontId="21" fillId="13" borderId="0" xfId="3" applyNumberForma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1" fillId="13" borderId="32" xfId="3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14" fillId="10" borderId="36" xfId="1" applyBorder="1" applyAlignment="1">
      <alignment horizontal="center" vertical="center"/>
    </xf>
    <xf numFmtId="0" fontId="14" fillId="10" borderId="35" xfId="1" applyBorder="1" applyAlignment="1">
      <alignment horizontal="center" vertical="center"/>
    </xf>
    <xf numFmtId="0" fontId="14" fillId="10" borderId="25" xfId="1" applyBorder="1" applyAlignment="1">
      <alignment horizontal="center" vertical="center"/>
    </xf>
    <xf numFmtId="0" fontId="14" fillId="10" borderId="32" xfId="1" applyBorder="1" applyAlignment="1">
      <alignment horizontal="center" vertical="center"/>
    </xf>
    <xf numFmtId="0" fontId="14" fillId="10" borderId="25" xfId="1" applyBorder="1" applyAlignment="1">
      <alignment horizontal="center"/>
    </xf>
    <xf numFmtId="0" fontId="14" fillId="10" borderId="32" xfId="1" applyBorder="1" applyAlignment="1">
      <alignment horizontal="center"/>
    </xf>
    <xf numFmtId="164" fontId="14" fillId="10" borderId="25" xfId="1" applyNumberFormat="1" applyBorder="1" applyAlignment="1">
      <alignment horizontal="center" vertical="center"/>
    </xf>
    <xf numFmtId="164" fontId="14" fillId="10" borderId="32" xfId="1" applyNumberFormat="1" applyBorder="1" applyAlignment="1">
      <alignment horizontal="center" vertical="center"/>
    </xf>
    <xf numFmtId="0" fontId="14" fillId="10" borderId="25" xfId="1" applyBorder="1"/>
    <xf numFmtId="0" fontId="21" fillId="13" borderId="25" xfId="3" applyBorder="1" applyAlignment="1">
      <alignment horizontal="center"/>
    </xf>
    <xf numFmtId="0" fontId="21" fillId="13" borderId="32" xfId="3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16" fontId="14" fillId="10" borderId="25" xfId="1" applyNumberFormat="1" applyBorder="1" applyAlignment="1">
      <alignment horizontal="center" vertical="center"/>
    </xf>
    <xf numFmtId="0" fontId="21" fillId="13" borderId="33" xfId="3" applyBorder="1" applyAlignment="1">
      <alignment horizontal="center" vertical="center"/>
    </xf>
    <xf numFmtId="164" fontId="21" fillId="13" borderId="2" xfId="3" applyNumberFormat="1" applyBorder="1" applyAlignment="1">
      <alignment horizontal="center" vertical="center"/>
    </xf>
    <xf numFmtId="164" fontId="21" fillId="13" borderId="3" xfId="3" applyNumberForma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4" xfId="0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14" fillId="10" borderId="10" xfId="1" applyBorder="1"/>
    <xf numFmtId="0" fontId="2" fillId="3" borderId="4" xfId="0" applyFont="1" applyFill="1" applyBorder="1" applyAlignment="1">
      <alignment horizontal="center"/>
    </xf>
    <xf numFmtId="0" fontId="0" fillId="0" borderId="2" xfId="3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14" fillId="10" borderId="36" xfId="1" applyBorder="1" applyAlignment="1">
      <alignment horizontal="center"/>
    </xf>
    <xf numFmtId="0" fontId="14" fillId="10" borderId="20" xfId="1" applyBorder="1" applyAlignment="1">
      <alignment horizontal="center" vertical="center"/>
    </xf>
    <xf numFmtId="0" fontId="14" fillId="10" borderId="30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10" borderId="3" xfId="1" applyBorder="1" applyAlignment="1">
      <alignment horizontal="center"/>
    </xf>
    <xf numFmtId="2" fontId="9" fillId="0" borderId="2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7" fillId="0" borderId="47" xfId="0" applyFont="1" applyBorder="1"/>
    <xf numFmtId="0" fontId="7" fillId="0" borderId="47" xfId="0" applyNumberFormat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0" xfId="0" applyNumberFormat="1" applyFont="1"/>
    <xf numFmtId="0" fontId="14" fillId="10" borderId="0" xfId="1" applyNumberFormat="1"/>
    <xf numFmtId="0" fontId="14" fillId="10" borderId="51" xfId="1" applyBorder="1" applyAlignment="1">
      <alignment horizontal="center" vertical="center"/>
    </xf>
    <xf numFmtId="0" fontId="14" fillId="3" borderId="52" xfId="1" applyFill="1" applyBorder="1" applyAlignment="1">
      <alignment horizontal="center" vertical="center"/>
    </xf>
    <xf numFmtId="0" fontId="14" fillId="10" borderId="51" xfId="1" applyBorder="1" applyAlignment="1">
      <alignment horizontal="center"/>
    </xf>
    <xf numFmtId="0" fontId="14" fillId="3" borderId="52" xfId="1" applyFill="1" applyBorder="1" applyAlignment="1">
      <alignment horizontal="center"/>
    </xf>
    <xf numFmtId="0" fontId="0" fillId="0" borderId="39" xfId="0" applyNumberFormat="1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10" borderId="6" xfId="1" applyBorder="1" applyAlignment="1">
      <alignment horizontal="center" vertical="center"/>
    </xf>
    <xf numFmtId="0" fontId="14" fillId="10" borderId="10" xfId="1" applyBorder="1" applyAlignment="1">
      <alignment horizontal="center" vertical="center"/>
    </xf>
    <xf numFmtId="16" fontId="14" fillId="10" borderId="10" xfId="1" applyNumberFormat="1" applyBorder="1" applyAlignment="1">
      <alignment horizontal="center" vertical="center"/>
    </xf>
    <xf numFmtId="0" fontId="14" fillId="10" borderId="10" xfId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0" xfId="0" applyNumberFormat="1" applyFont="1" applyBorder="1"/>
    <xf numFmtId="0" fontId="14" fillId="3" borderId="9" xfId="1" applyFill="1" applyBorder="1" applyAlignment="1">
      <alignment horizontal="center" vertical="center"/>
    </xf>
    <xf numFmtId="0" fontId="14" fillId="3" borderId="11" xfId="1" applyFill="1" applyBorder="1" applyAlignment="1">
      <alignment horizontal="center" vertical="center"/>
    </xf>
    <xf numFmtId="0" fontId="7" fillId="0" borderId="10" xfId="0" applyFont="1" applyBorder="1"/>
    <xf numFmtId="0" fontId="14" fillId="3" borderId="11" xfId="1" applyFill="1" applyBorder="1" applyAlignment="1">
      <alignment horizontal="center"/>
    </xf>
    <xf numFmtId="0" fontId="14" fillId="10" borderId="9" xfId="1" applyBorder="1" applyAlignment="1">
      <alignment horizontal="center" vertical="center"/>
    </xf>
    <xf numFmtId="0" fontId="14" fillId="10" borderId="11" xfId="1" applyBorder="1" applyAlignment="1">
      <alignment horizontal="center" vertical="center"/>
    </xf>
    <xf numFmtId="0" fontId="7" fillId="4" borderId="12" xfId="0" applyFont="1" applyFill="1" applyBorder="1" applyAlignment="1">
      <alignment horizontal="left"/>
    </xf>
    <xf numFmtId="0" fontId="7" fillId="0" borderId="8" xfId="0" applyFont="1" applyBorder="1"/>
    <xf numFmtId="0" fontId="14" fillId="10" borderId="48" xfId="1" applyBorder="1" applyAlignment="1">
      <alignment horizontal="center" vertical="center"/>
    </xf>
    <xf numFmtId="0" fontId="7" fillId="0" borderId="49" xfId="0" applyFont="1" applyBorder="1"/>
    <xf numFmtId="0" fontId="14" fillId="3" borderId="50" xfId="1" applyFill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/>
    </xf>
    <xf numFmtId="0" fontId="7" fillId="0" borderId="6" xfId="0" applyNumberFormat="1" applyFont="1" applyBorder="1"/>
    <xf numFmtId="0" fontId="7" fillId="0" borderId="6" xfId="0" applyFont="1" applyBorder="1"/>
    <xf numFmtId="0" fontId="7" fillId="0" borderId="0" xfId="0" applyFont="1" applyBorder="1"/>
    <xf numFmtId="0" fontId="14" fillId="10" borderId="18" xfId="1" applyBorder="1" applyAlignment="1">
      <alignment horizontal="center" vertical="center"/>
    </xf>
    <xf numFmtId="0" fontId="0" fillId="0" borderId="13" xfId="0" applyBorder="1"/>
    <xf numFmtId="0" fontId="14" fillId="10" borderId="13" xfId="1" applyBorder="1" applyAlignment="1">
      <alignment horizontal="center"/>
    </xf>
    <xf numFmtId="0" fontId="0" fillId="0" borderId="40" xfId="0" applyFill="1" applyBorder="1"/>
    <xf numFmtId="0" fontId="14" fillId="3" borderId="41" xfId="1" applyFill="1" applyBorder="1" applyAlignment="1">
      <alignment horizontal="center" vertical="center"/>
    </xf>
    <xf numFmtId="0" fontId="7" fillId="0" borderId="12" xfId="0" applyFont="1" applyBorder="1"/>
    <xf numFmtId="0" fontId="0" fillId="0" borderId="33" xfId="0" applyNumberFormat="1" applyBorder="1"/>
    <xf numFmtId="0" fontId="14" fillId="3" borderId="45" xfId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7" fillId="0" borderId="1" xfId="0" applyFont="1" applyBorder="1"/>
    <xf numFmtId="0" fontId="7" fillId="4" borderId="1" xfId="0" applyFont="1" applyFill="1" applyBorder="1" applyAlignment="1">
      <alignment horizontal="right"/>
    </xf>
    <xf numFmtId="0" fontId="7" fillId="0" borderId="14" xfId="1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9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0" fontId="0" fillId="13" borderId="0" xfId="3" applyFont="1" applyBorder="1" applyAlignment="1">
      <alignment horizontal="center"/>
    </xf>
    <xf numFmtId="0" fontId="0" fillId="13" borderId="0" xfId="3" applyFont="1" applyBorder="1" applyAlignment="1">
      <alignment horizontal="center" vertical="center"/>
    </xf>
    <xf numFmtId="0" fontId="7" fillId="10" borderId="8" xfId="1" applyFont="1" applyBorder="1" applyAlignment="1">
      <alignment horizontal="center" vertical="center"/>
    </xf>
    <xf numFmtId="0" fontId="7" fillId="10" borderId="0" xfId="1" applyFont="1" applyBorder="1" applyAlignment="1">
      <alignment horizontal="center" vertical="center"/>
    </xf>
    <xf numFmtId="0" fontId="7" fillId="13" borderId="0" xfId="3" applyFon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0" fillId="0" borderId="0" xfId="3" applyFont="1" applyFill="1" applyBorder="1" applyAlignment="1">
      <alignment horizontal="center" vertical="center"/>
    </xf>
    <xf numFmtId="0" fontId="21" fillId="0" borderId="0" xfId="3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164" fontId="10" fillId="3" borderId="45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164" fontId="10" fillId="8" borderId="11" xfId="0" applyNumberFormat="1" applyFont="1" applyFill="1" applyBorder="1" applyAlignment="1">
      <alignment horizontal="center"/>
    </xf>
    <xf numFmtId="164" fontId="10" fillId="3" borderId="31" xfId="0" applyNumberFormat="1" applyFont="1" applyFill="1" applyBorder="1" applyAlignment="1">
      <alignment horizontal="center"/>
    </xf>
    <xf numFmtId="0" fontId="23" fillId="0" borderId="2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/>
    <xf numFmtId="164" fontId="1" fillId="3" borderId="4" xfId="0" applyNumberFormat="1" applyFont="1" applyFill="1" applyBorder="1" applyAlignment="1"/>
    <xf numFmtId="164" fontId="1" fillId="3" borderId="34" xfId="0" applyNumberFormat="1" applyFont="1" applyFill="1" applyBorder="1" applyAlignment="1">
      <alignment horizontal="center" vertical="center"/>
    </xf>
    <xf numFmtId="164" fontId="1" fillId="3" borderId="45" xfId="0" applyNumberFormat="1" applyFont="1" applyFill="1" applyBorder="1" applyAlignment="1">
      <alignment horizontal="center" vertical="center"/>
    </xf>
    <xf numFmtId="168" fontId="1" fillId="0" borderId="26" xfId="0" applyNumberFormat="1" applyFont="1" applyBorder="1" applyAlignment="1">
      <alignment horizontal="center" vertical="center"/>
    </xf>
    <xf numFmtId="0" fontId="1" fillId="0" borderId="0" xfId="0" applyFont="1"/>
    <xf numFmtId="0" fontId="9" fillId="0" borderId="2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9" fillId="0" borderId="8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14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27" fillId="0" borderId="0" xfId="0" applyNumberFormat="1" applyFont="1"/>
    <xf numFmtId="0" fontId="28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3" fillId="0" borderId="2" xfId="0" applyFont="1" applyBorder="1"/>
    <xf numFmtId="0" fontId="1" fillId="4" borderId="2" xfId="0" applyFont="1" applyFill="1" applyBorder="1"/>
    <xf numFmtId="0" fontId="1" fillId="6" borderId="2" xfId="0" applyFont="1" applyFill="1" applyBorder="1"/>
    <xf numFmtId="0" fontId="1" fillId="5" borderId="2" xfId="0" applyFont="1" applyFill="1" applyBorder="1"/>
    <xf numFmtId="0" fontId="0" fillId="15" borderId="0" xfId="0" applyFill="1"/>
    <xf numFmtId="0" fontId="0" fillId="0" borderId="8" xfId="0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25" fillId="7" borderId="12" xfId="0" applyFont="1" applyFill="1" applyBorder="1" applyAlignment="1">
      <alignment horizontal="center"/>
    </xf>
    <xf numFmtId="0" fontId="25" fillId="7" borderId="13" xfId="0" applyFont="1" applyFill="1" applyBorder="1" applyAlignment="1">
      <alignment horizontal="center"/>
    </xf>
    <xf numFmtId="0" fontId="25" fillId="7" borderId="14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25" fillId="7" borderId="3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6" fillId="10" borderId="1" xfId="1" applyFont="1" applyBorder="1" applyAlignment="1">
      <alignment horizontal="center"/>
    </xf>
    <xf numFmtId="0" fontId="26" fillId="10" borderId="2" xfId="1" applyFont="1" applyBorder="1" applyAlignment="1">
      <alignment horizontal="center"/>
    </xf>
    <xf numFmtId="0" fontId="26" fillId="10" borderId="3" xfId="1" applyFont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0" fillId="0" borderId="24" xfId="3" applyFont="1" applyFill="1" applyBorder="1" applyAlignment="1">
      <alignment horizontal="center" vertical="center" wrapText="1"/>
    </xf>
    <xf numFmtId="0" fontId="0" fillId="0" borderId="34" xfId="3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13" borderId="27" xfId="3" applyFont="1" applyBorder="1" applyAlignment="1">
      <alignment horizontal="center" vertical="center"/>
    </xf>
    <xf numFmtId="0" fontId="21" fillId="13" borderId="28" xfId="3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24" fillId="10" borderId="27" xfId="1" applyFont="1" applyBorder="1" applyAlignment="1">
      <alignment horizontal="center" vertical="center" wrapText="1"/>
    </xf>
    <xf numFmtId="0" fontId="24" fillId="10" borderId="28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5" fillId="7" borderId="15" xfId="0" applyFont="1" applyFill="1" applyBorder="1" applyAlignment="1">
      <alignment horizontal="center"/>
    </xf>
    <xf numFmtId="0" fontId="25" fillId="7" borderId="16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3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5" fillId="7" borderId="53" xfId="0" applyFont="1" applyFill="1" applyBorder="1" applyAlignment="1">
      <alignment horizontal="center"/>
    </xf>
    <xf numFmtId="0" fontId="15" fillId="11" borderId="11" xfId="2" applyBorder="1" applyAlignment="1">
      <alignment horizontal="center" vertical="center" wrapText="1"/>
    </xf>
    <xf numFmtId="0" fontId="14" fillId="10" borderId="11" xfId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14" fillId="10" borderId="0" xfId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">
    <cellStyle name="20% - Accent5" xfId="3" builtinId="46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63283</xdr:colOff>
      <xdr:row>29</xdr:row>
      <xdr:rowOff>59790</xdr:rowOff>
    </xdr:from>
    <xdr:ext cx="2633683" cy="9747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E7494D-9C3D-491E-992D-0C938992D9A1}"/>
            </a:ext>
          </a:extLst>
        </xdr:cNvPr>
        <xdr:cNvSpPr txBox="1"/>
      </xdr:nvSpPr>
      <xdr:spPr>
        <a:xfrm>
          <a:off x="8368227" y="5275352"/>
          <a:ext cx="2633683" cy="974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ZA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Trackways D and E are on the same palaeosurface. No additional measurements for them as they are of a poorer quality than trackway C.</a:t>
          </a:r>
          <a:endParaRPr lang="en-ZA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762066" cy="104986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5814EC-F150-46DC-94BD-99A4ABBB0B17}"/>
            </a:ext>
          </a:extLst>
        </xdr:cNvPr>
        <xdr:cNvSpPr txBox="1"/>
      </xdr:nvSpPr>
      <xdr:spPr>
        <a:xfrm>
          <a:off x="135467" y="0"/>
          <a:ext cx="9762066" cy="104986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ZA" sz="1200" b="1" i="0" u="none" strike="noStrike" baseline="0">
              <a:solidFill>
                <a:srgbClr val="00B0F0"/>
              </a:solidFill>
              <a:latin typeface="+mn-lt"/>
              <a:ea typeface="+mn-ea"/>
              <a:cs typeface="+mn-cs"/>
            </a:rPr>
            <a:t>Track data sheet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: </a:t>
          </a:r>
          <a:r>
            <a:rPr lang="en-ZA" sz="12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Ichnological measurements of the tracks A, B, C, D and E at Highlands and tracks at Chewore. Measurements are in centimetres.</a:t>
          </a:r>
        </a:p>
        <a:p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From left to right (Trackway):  each trackway is labelled with a letter (e.g., A, B, C). (Footprint No.): number of pes mark in the trackway; (FL): pes length; (FW): pes width; (FL/FW): foot length to width ratio; </a:t>
          </a:r>
          <a:r>
            <a:rPr lang="en-ZA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(AT): Anterior triangle; 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ZA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(ATL): 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Anterior triangle length; (ATL/FW) </a:t>
          </a:r>
          <a:r>
            <a:rPr lang="en-ZA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Anterior triangle length to 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ZA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foot width ratio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; </a:t>
          </a:r>
          <a:r>
            <a:rPr lang="en-ZA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(te): 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Toe extension, te/FW):  Toe extension to </a:t>
          </a:r>
          <a:r>
            <a:rPr lang="en-ZA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pes width ratio; II^IV: 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total divarication between digits II and IV;  divarication </a:t>
          </a:r>
          <a:r>
            <a:rPr lang="en-ZA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between digits 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II and III; divarication </a:t>
          </a:r>
          <a:r>
            <a:rPr lang="en-ZA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between digits 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III and IV; (</a:t>
          </a:r>
          <a:r>
            <a:rPr lang="en-ZA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ML):  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Manus length; </a:t>
          </a:r>
          <a:r>
            <a:rPr lang="en-ZA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(MW): 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Manus width; (ML/MW): Manus l</a:t>
          </a:r>
          <a:r>
            <a:rPr lang="en-ZA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ength to width ratio.</a:t>
          </a:r>
          <a:endParaRPr lang="en-ZA" sz="12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44873</xdr:colOff>
      <xdr:row>0</xdr:row>
      <xdr:rowOff>59630</xdr:rowOff>
    </xdr:from>
    <xdr:ext cx="15521214" cy="140639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96C447-CE64-460A-80FB-D0B1E1FD6B07}"/>
            </a:ext>
          </a:extLst>
        </xdr:cNvPr>
        <xdr:cNvSpPr txBox="1"/>
      </xdr:nvSpPr>
      <xdr:spPr>
        <a:xfrm>
          <a:off x="44873" y="59630"/>
          <a:ext cx="15521214" cy="140639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ZA" sz="1200" b="1" i="0" u="none" strike="noStrike" baseline="0">
              <a:solidFill>
                <a:srgbClr val="00B0F0"/>
              </a:solidFill>
              <a:latin typeface="+mn-lt"/>
              <a:ea typeface="+mn-ea"/>
              <a:cs typeface="+mn-cs"/>
            </a:rPr>
            <a:t>Trackway data sheet</a:t>
          </a:r>
          <a:r>
            <a:rPr lang="en-ZA" sz="12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: </a:t>
          </a:r>
          <a:r>
            <a:rPr lang="en-ZA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ZA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Ichnological measurements of the trackways A, B, C, D and E at Highlands and the Chewore trackway. Measurements are in centimetres.</a:t>
          </a:r>
          <a:endParaRPr lang="en-ZA" sz="1200">
            <a:effectLst/>
          </a:endParaRPr>
        </a:p>
        <a:p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From left to right (Trackway):  each trackway is labelled with a letter (e.g., A, B, C). (Footprint No.): number of pes mark in the trackway. (FL): pes length. (FW): pes width; (FL/FW) foot length to width ratio.  </a:t>
          </a:r>
          <a:r>
            <a:rPr lang="en-ZA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(ATL): 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Anterior triangle length. (ATL/FW) </a:t>
          </a:r>
          <a:r>
            <a:rPr lang="en-ZA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Anterior triangle length to 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ZA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foot width ratio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. (Digits Y/N): presence (yes: Y) or absence (no: N) of digit marks on the footprint. (No. of P digits): number of visible digit marks on the foot mark. (PR): pes rotation, which is the orientation of the longitudinal axis of the pes respect to the trackway midline; rotation is expressed in qualitative terms: 0 (zero) = no rotation, 1 (one) = inward rotation, -1 (minus one) = outward rotation  of pes. (Handprint –Y/N): presence (Y) or absence (N) of the handmark on a given step. (ML): manus length; (MW) manus width; (No. of M digits): number of visible digit marks on the handprint. (MR):  m</a:t>
          </a:r>
          <a:r>
            <a:rPr lang="en-ZA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anus rotation. (PTW): pes trackway width. (MTW): Manus trackway width. S</a:t>
          </a:r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ee remarks under pes rotation. (PP): pes pace; (PS): pes stride; (MP): manus pace; (MP) manus stride; (P-M distance): pes to manus distance in each step.(P ANG):Pace Angulation for pes. (M ANG): pace angulation for manus.(LII-IV):Length of respective pes digits.(TRp,TRm): Track rotation for pes and manus (quantitative).(SWL, SWR, SWM): Width of left pes tracks, right pes tracks and mean with of both pes tracks. (OW): Outer width of trackway. (PTR): Pes trackway ratio.</a:t>
          </a:r>
          <a:endParaRPr lang="en-ZA" sz="12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45720</xdr:rowOff>
    </xdr:from>
    <xdr:ext cx="6652260" cy="8610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94CA42-7589-485D-88F2-A6529010FDF2}"/>
            </a:ext>
          </a:extLst>
        </xdr:cNvPr>
        <xdr:cNvSpPr txBox="1"/>
      </xdr:nvSpPr>
      <xdr:spPr>
        <a:xfrm>
          <a:off x="0" y="45720"/>
          <a:ext cx="6652260" cy="86106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ZA" sz="1200" b="1" i="0" u="none" strike="noStrike" baseline="0">
              <a:solidFill>
                <a:srgbClr val="00B0F0"/>
              </a:solidFill>
              <a:latin typeface="+mn-lt"/>
              <a:ea typeface="+mn-ea"/>
              <a:cs typeface="+mn-cs"/>
            </a:rPr>
            <a:t>Speed data sheet</a:t>
          </a:r>
          <a:r>
            <a:rPr lang="en-ZA" sz="12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: </a:t>
          </a:r>
          <a:r>
            <a:rPr lang="en-ZA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ZA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Ichnological measurements of the trackways A, and C at Highlands and the Chewore trackway. Measurements are in centimetres.</a:t>
          </a:r>
          <a:endParaRPr lang="en-ZA" sz="1200">
            <a:effectLst/>
          </a:endParaRPr>
        </a:p>
        <a:p>
          <a:r>
            <a:rPr lang="en-ZA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From left to right (Trackway):  each trackway is labelled with a letter (e.g., A, C). (Footprint No.): number of pes mark in the trackway; </a:t>
          </a:r>
          <a:r>
            <a:rPr lang="en-ZA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(FL): pes length; H: hip height.</a:t>
          </a:r>
          <a:endParaRPr lang="en-ZA" sz="12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2"/>
  <sheetViews>
    <sheetView zoomScale="90" zoomScaleNormal="90" workbookViewId="0">
      <selection activeCell="B41" sqref="B41:R41"/>
    </sheetView>
  </sheetViews>
  <sheetFormatPr defaultRowHeight="14.5" x14ac:dyDescent="0.35"/>
  <cols>
    <col min="1" max="1" width="2" customWidth="1"/>
    <col min="2" max="2" width="8.90625" customWidth="1"/>
    <col min="3" max="3" width="10.81640625" customWidth="1"/>
    <col min="4" max="4" width="12" customWidth="1"/>
    <col min="5" max="5" width="8.08984375" bestFit="1" customWidth="1"/>
    <col min="6" max="8" width="6.453125" customWidth="1"/>
    <col min="9" max="9" width="7.90625" customWidth="1"/>
    <col min="10" max="10" width="9" customWidth="1"/>
    <col min="11" max="11" width="10.6328125" customWidth="1"/>
    <col min="12" max="12" width="6.6328125" bestFit="1" customWidth="1"/>
    <col min="13" max="13" width="8" customWidth="1"/>
    <col min="14" max="14" width="4.6328125" bestFit="1" customWidth="1"/>
    <col min="15" max="15" width="5.1796875" style="41" bestFit="1" customWidth="1"/>
    <col min="16" max="16" width="10.1796875" customWidth="1"/>
    <col min="17" max="17" width="9.90625" customWidth="1"/>
    <col min="18" max="18" width="8.1796875" customWidth="1"/>
    <col min="19" max="19" width="27.453125" customWidth="1"/>
  </cols>
  <sheetData>
    <row r="1" spans="1:19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5"/>
      <c r="P1" s="1"/>
      <c r="Q1" s="1"/>
      <c r="R1" s="1"/>
      <c r="S1" s="1"/>
    </row>
    <row r="2" spans="1:19" ht="74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5"/>
      <c r="P2" s="1"/>
      <c r="Q2" s="1"/>
      <c r="R2" s="1"/>
      <c r="S2" s="1"/>
    </row>
    <row r="3" spans="1:19" ht="39.5" thickBot="1" x14ac:dyDescent="0.4">
      <c r="A3" s="1"/>
      <c r="B3" s="103" t="s">
        <v>0</v>
      </c>
      <c r="C3" s="102" t="s">
        <v>115</v>
      </c>
      <c r="D3" s="102" t="s">
        <v>114</v>
      </c>
      <c r="E3" s="102" t="s">
        <v>62</v>
      </c>
      <c r="F3" s="118" t="s">
        <v>129</v>
      </c>
      <c r="G3" s="119" t="s">
        <v>125</v>
      </c>
      <c r="H3" s="119" t="s">
        <v>128</v>
      </c>
      <c r="I3" s="119" t="s">
        <v>130</v>
      </c>
      <c r="J3" s="119" t="s">
        <v>124</v>
      </c>
      <c r="K3" s="102" t="s">
        <v>1</v>
      </c>
      <c r="L3" s="102" t="s">
        <v>116</v>
      </c>
      <c r="M3" s="102" t="s">
        <v>2</v>
      </c>
      <c r="N3" s="102" t="s">
        <v>3</v>
      </c>
      <c r="O3" s="102" t="s">
        <v>4</v>
      </c>
      <c r="P3" s="102" t="s">
        <v>112</v>
      </c>
      <c r="Q3" s="102" t="s">
        <v>113</v>
      </c>
      <c r="R3" s="104" t="s">
        <v>122</v>
      </c>
      <c r="S3" s="114"/>
    </row>
    <row r="4" spans="1:19" ht="19" thickBot="1" x14ac:dyDescent="0.5">
      <c r="A4" s="1"/>
      <c r="B4" s="335" t="s">
        <v>6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7"/>
      <c r="S4" s="115"/>
    </row>
    <row r="5" spans="1:19" x14ac:dyDescent="0.35">
      <c r="A5" s="1"/>
      <c r="B5" s="2">
        <v>1</v>
      </c>
      <c r="C5" s="3">
        <v>4.2</v>
      </c>
      <c r="D5" s="4">
        <v>3.6</v>
      </c>
      <c r="E5" s="5">
        <f>C5/D5</f>
        <v>1.1666666666666667</v>
      </c>
      <c r="F5" s="80" t="s">
        <v>83</v>
      </c>
      <c r="G5" s="83" t="s">
        <v>83</v>
      </c>
      <c r="H5" s="83" t="s">
        <v>83</v>
      </c>
      <c r="I5" s="83" t="s">
        <v>83</v>
      </c>
      <c r="J5" s="83" t="s">
        <v>83</v>
      </c>
      <c r="K5" s="4" t="s">
        <v>7</v>
      </c>
      <c r="L5" s="3" t="s">
        <v>7</v>
      </c>
      <c r="M5" s="3" t="s">
        <v>7</v>
      </c>
      <c r="N5" s="3" t="s">
        <v>7</v>
      </c>
      <c r="O5" s="3" t="s">
        <v>7</v>
      </c>
      <c r="P5" s="57">
        <v>1.9</v>
      </c>
      <c r="Q5" s="84">
        <v>2.2999999999999998</v>
      </c>
      <c r="R5" s="52">
        <f>P5/Q5</f>
        <v>0.82608695652173914</v>
      </c>
      <c r="S5" s="116"/>
    </row>
    <row r="6" spans="1:19" x14ac:dyDescent="0.35">
      <c r="A6" s="1"/>
      <c r="B6" s="2">
        <v>2</v>
      </c>
      <c r="C6" s="3">
        <v>4.2</v>
      </c>
      <c r="D6" s="4">
        <v>2.9</v>
      </c>
      <c r="E6" s="5">
        <f>C6/D6</f>
        <v>1.4482758620689655</v>
      </c>
      <c r="F6" s="32">
        <v>118</v>
      </c>
      <c r="G6" s="5">
        <v>1</v>
      </c>
      <c r="H6" s="3">
        <v>2.6</v>
      </c>
      <c r="I6" s="5">
        <f>G6/H6</f>
        <v>0.38461538461538458</v>
      </c>
      <c r="J6" s="5">
        <f>G6/D6</f>
        <v>0.34482758620689657</v>
      </c>
      <c r="K6" s="4">
        <v>1.1000000000000001</v>
      </c>
      <c r="L6" s="32">
        <f>K6/D6</f>
        <v>0.37931034482758624</v>
      </c>
      <c r="M6" s="3">
        <f>N6+O6</f>
        <v>52</v>
      </c>
      <c r="N6" s="3">
        <v>25</v>
      </c>
      <c r="O6" s="3">
        <v>27</v>
      </c>
      <c r="P6" s="57">
        <v>1.7</v>
      </c>
      <c r="Q6" s="270">
        <v>2</v>
      </c>
      <c r="R6" s="52">
        <f t="shared" ref="R6:R13" si="0">P6/Q6</f>
        <v>0.85</v>
      </c>
      <c r="S6" s="116"/>
    </row>
    <row r="7" spans="1:19" x14ac:dyDescent="0.35">
      <c r="A7" s="1"/>
      <c r="B7" s="2">
        <v>3</v>
      </c>
      <c r="C7" s="3">
        <v>4.3</v>
      </c>
      <c r="D7" s="4">
        <v>3.5</v>
      </c>
      <c r="E7" s="5">
        <f t="shared" ref="E7:E13" si="1">C7/D7</f>
        <v>1.2285714285714284</v>
      </c>
      <c r="F7" s="32">
        <v>86</v>
      </c>
      <c r="G7" s="5">
        <v>1.5</v>
      </c>
      <c r="H7" s="3">
        <v>3</v>
      </c>
      <c r="I7" s="5">
        <f t="shared" ref="I7:I10" si="2">G7/H7</f>
        <v>0.5</v>
      </c>
      <c r="J7" s="5">
        <f t="shared" ref="J7:J10" si="3">G7/D7</f>
        <v>0.42857142857142855</v>
      </c>
      <c r="K7" s="4">
        <v>1.2</v>
      </c>
      <c r="L7" s="32">
        <f>K7/D7</f>
        <v>0.34285714285714286</v>
      </c>
      <c r="M7" s="3">
        <f t="shared" ref="M7:M9" si="4">N7+O7</f>
        <v>52</v>
      </c>
      <c r="N7" s="3">
        <v>26</v>
      </c>
      <c r="O7" s="3">
        <v>26</v>
      </c>
      <c r="P7" s="57">
        <v>2.2999999999999998</v>
      </c>
      <c r="Q7" s="270">
        <v>2.2000000000000002</v>
      </c>
      <c r="R7" s="52">
        <f t="shared" si="0"/>
        <v>1.0454545454545452</v>
      </c>
      <c r="S7" s="116"/>
    </row>
    <row r="8" spans="1:19" x14ac:dyDescent="0.35">
      <c r="A8" s="1"/>
      <c r="B8" s="2">
        <v>4</v>
      </c>
      <c r="C8" s="3">
        <v>4.2</v>
      </c>
      <c r="D8" s="4">
        <v>3.4</v>
      </c>
      <c r="E8" s="5">
        <f t="shared" si="1"/>
        <v>1.2352941176470589</v>
      </c>
      <c r="F8" s="32">
        <v>111</v>
      </c>
      <c r="G8" s="5">
        <v>1.2</v>
      </c>
      <c r="H8" s="3">
        <v>2.9</v>
      </c>
      <c r="I8" s="5">
        <f t="shared" si="2"/>
        <v>0.41379310344827586</v>
      </c>
      <c r="J8" s="5">
        <f t="shared" si="3"/>
        <v>0.35294117647058826</v>
      </c>
      <c r="K8" s="14">
        <v>1.04</v>
      </c>
      <c r="L8" s="32">
        <f>K8/D8</f>
        <v>0.30588235294117649</v>
      </c>
      <c r="M8" s="3">
        <f t="shared" si="4"/>
        <v>46</v>
      </c>
      <c r="N8" s="3">
        <v>20</v>
      </c>
      <c r="O8" s="3">
        <v>26</v>
      </c>
      <c r="P8" s="57">
        <v>1.2</v>
      </c>
      <c r="Q8" s="84">
        <v>1.8</v>
      </c>
      <c r="R8" s="52">
        <f t="shared" si="0"/>
        <v>0.66666666666666663</v>
      </c>
      <c r="S8" s="116"/>
    </row>
    <row r="9" spans="1:19" x14ac:dyDescent="0.35">
      <c r="A9" s="1"/>
      <c r="B9" s="2">
        <v>5</v>
      </c>
      <c r="C9" s="3">
        <v>4.2</v>
      </c>
      <c r="D9" s="4">
        <v>3.4</v>
      </c>
      <c r="E9" s="5">
        <f t="shared" si="1"/>
        <v>1.2352941176470589</v>
      </c>
      <c r="F9" s="32">
        <v>94</v>
      </c>
      <c r="G9" s="5">
        <v>1.5</v>
      </c>
      <c r="H9" s="3">
        <v>2.6</v>
      </c>
      <c r="I9" s="5">
        <f t="shared" si="2"/>
        <v>0.57692307692307687</v>
      </c>
      <c r="J9" s="5">
        <f t="shared" si="3"/>
        <v>0.44117647058823528</v>
      </c>
      <c r="K9" s="4">
        <v>1.2</v>
      </c>
      <c r="L9" s="32">
        <f>K9/D9</f>
        <v>0.35294117647058826</v>
      </c>
      <c r="M9" s="3">
        <f t="shared" si="4"/>
        <v>47</v>
      </c>
      <c r="N9" s="3">
        <v>25</v>
      </c>
      <c r="O9" s="3">
        <v>22</v>
      </c>
      <c r="P9" s="57">
        <v>1.7</v>
      </c>
      <c r="Q9" s="84">
        <v>1.5</v>
      </c>
      <c r="R9" s="52">
        <f t="shared" si="0"/>
        <v>1.1333333333333333</v>
      </c>
      <c r="S9" s="116"/>
    </row>
    <row r="10" spans="1:19" x14ac:dyDescent="0.35">
      <c r="A10" s="1"/>
      <c r="B10" s="2">
        <v>6</v>
      </c>
      <c r="C10" s="3">
        <v>4.2</v>
      </c>
      <c r="D10" s="4">
        <v>3.2</v>
      </c>
      <c r="E10" s="5">
        <f t="shared" si="1"/>
        <v>1.3125</v>
      </c>
      <c r="F10" s="32">
        <v>98</v>
      </c>
      <c r="G10" s="5">
        <v>1.3</v>
      </c>
      <c r="H10" s="3">
        <v>2.7</v>
      </c>
      <c r="I10" s="5">
        <f t="shared" si="2"/>
        <v>0.48148148148148145</v>
      </c>
      <c r="J10" s="5">
        <f t="shared" si="3"/>
        <v>0.40625</v>
      </c>
      <c r="K10" s="4">
        <v>1.2</v>
      </c>
      <c r="L10" s="32">
        <f>K10/D10</f>
        <v>0.37499999999999994</v>
      </c>
      <c r="M10" s="3" t="s">
        <v>7</v>
      </c>
      <c r="N10" s="3" t="s">
        <v>7</v>
      </c>
      <c r="O10" s="3">
        <v>23</v>
      </c>
      <c r="P10" s="57">
        <v>1.6</v>
      </c>
      <c r="Q10" s="84">
        <v>2</v>
      </c>
      <c r="R10" s="52">
        <f t="shared" si="0"/>
        <v>0.8</v>
      </c>
      <c r="S10" s="116"/>
    </row>
    <row r="11" spans="1:19" x14ac:dyDescent="0.35">
      <c r="A11" s="1"/>
      <c r="B11" s="2">
        <v>7</v>
      </c>
      <c r="C11" s="3">
        <v>5</v>
      </c>
      <c r="D11" s="4">
        <v>4.0999999999999996</v>
      </c>
      <c r="E11" s="5">
        <f t="shared" si="1"/>
        <v>1.2195121951219514</v>
      </c>
      <c r="F11" s="80" t="s">
        <v>83</v>
      </c>
      <c r="G11" s="83" t="s">
        <v>83</v>
      </c>
      <c r="H11" s="83" t="s">
        <v>83</v>
      </c>
      <c r="I11" s="83" t="s">
        <v>83</v>
      </c>
      <c r="J11" s="83" t="s">
        <v>83</v>
      </c>
      <c r="K11" s="4" t="s">
        <v>7</v>
      </c>
      <c r="L11" s="31" t="s">
        <v>7</v>
      </c>
      <c r="M11" s="3" t="s">
        <v>7</v>
      </c>
      <c r="N11" s="3" t="s">
        <v>7</v>
      </c>
      <c r="O11" s="3" t="s">
        <v>7</v>
      </c>
      <c r="P11" s="57">
        <v>1.5</v>
      </c>
      <c r="Q11" s="270">
        <v>1.8</v>
      </c>
      <c r="R11" s="52">
        <f t="shared" si="0"/>
        <v>0.83333333333333326</v>
      </c>
      <c r="S11" s="53" t="s">
        <v>140</v>
      </c>
    </row>
    <row r="12" spans="1:19" ht="15" thickBot="1" x14ac:dyDescent="0.4">
      <c r="A12" s="1"/>
      <c r="B12" s="2">
        <v>8</v>
      </c>
      <c r="C12" s="3">
        <v>4</v>
      </c>
      <c r="D12" s="4">
        <v>3.9</v>
      </c>
      <c r="E12" s="5">
        <f t="shared" si="1"/>
        <v>1.0256410256410258</v>
      </c>
      <c r="F12" s="80">
        <v>115.8</v>
      </c>
      <c r="G12" s="278">
        <v>1.6</v>
      </c>
      <c r="H12" s="83">
        <v>3.7</v>
      </c>
      <c r="I12" s="277">
        <f>G12/H12</f>
        <v>0.43243243243243246</v>
      </c>
      <c r="J12" s="277">
        <f>G12/D12</f>
        <v>0.4102564102564103</v>
      </c>
      <c r="K12" s="4">
        <v>1.5</v>
      </c>
      <c r="L12" s="32">
        <f>K12/D12</f>
        <v>0.38461538461538464</v>
      </c>
      <c r="M12" s="3">
        <v>56.8</v>
      </c>
      <c r="N12" s="3">
        <v>30.4</v>
      </c>
      <c r="O12" s="3">
        <v>22.5</v>
      </c>
      <c r="P12" s="57">
        <v>1.7</v>
      </c>
      <c r="Q12" s="84">
        <v>1.8</v>
      </c>
      <c r="R12" s="52">
        <f t="shared" si="0"/>
        <v>0.94444444444444442</v>
      </c>
      <c r="S12" s="53"/>
    </row>
    <row r="13" spans="1:19" ht="15" thickBot="1" x14ac:dyDescent="0.4">
      <c r="A13" s="1"/>
      <c r="B13" s="34" t="s">
        <v>5</v>
      </c>
      <c r="C13" s="294">
        <f>AVERAGE(C6:C11)</f>
        <v>4.3499999999999996</v>
      </c>
      <c r="D13" s="295">
        <f>AVERAGE(D6:D11)</f>
        <v>3.4166666666666665</v>
      </c>
      <c r="E13" s="293">
        <f t="shared" si="1"/>
        <v>1.2731707317073171</v>
      </c>
      <c r="F13" s="6">
        <f>AVERAGE(F6:F10)</f>
        <v>101.4</v>
      </c>
      <c r="G13" s="6">
        <f t="shared" ref="G13:J13" si="5">AVERAGE(G6:G10)</f>
        <v>1.3</v>
      </c>
      <c r="H13" s="6">
        <f t="shared" si="5"/>
        <v>2.7600000000000002</v>
      </c>
      <c r="I13" s="6">
        <f>AVERAGE(I6:I10)</f>
        <v>0.47136260929364376</v>
      </c>
      <c r="J13" s="6">
        <f t="shared" si="5"/>
        <v>0.39475333236742977</v>
      </c>
      <c r="K13" s="6">
        <f>AVERAGE(K5:K10)</f>
        <v>1.1480000000000001</v>
      </c>
      <c r="L13" s="121">
        <f>AVERAGE(L5:L10)</f>
        <v>0.35119820341929875</v>
      </c>
      <c r="M13" s="33">
        <f t="shared" ref="M13:O13" si="6">AVERAGE(M5:M10)</f>
        <v>49.25</v>
      </c>
      <c r="N13" s="7">
        <f t="shared" si="6"/>
        <v>24</v>
      </c>
      <c r="O13" s="33">
        <f t="shared" si="6"/>
        <v>24.8</v>
      </c>
      <c r="P13" s="33">
        <f>AVERAGE(P5:P12)</f>
        <v>1.6999999999999997</v>
      </c>
      <c r="Q13" s="81">
        <f>AVERAGE(Q5:Q12)</f>
        <v>1.9250000000000003</v>
      </c>
      <c r="R13" s="276">
        <f t="shared" si="0"/>
        <v>0.88311688311688286</v>
      </c>
      <c r="S13" s="46"/>
    </row>
    <row r="14" spans="1:19" ht="19" thickBot="1" x14ac:dyDescent="0.4">
      <c r="A14" s="1"/>
      <c r="B14" s="344" t="s">
        <v>141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6"/>
      <c r="S14" s="42"/>
    </row>
    <row r="15" spans="1:19" x14ac:dyDescent="0.35">
      <c r="A15" s="1"/>
      <c r="B15" s="2">
        <v>1</v>
      </c>
      <c r="C15" s="3">
        <v>2.4</v>
      </c>
      <c r="D15" s="4">
        <v>2.4</v>
      </c>
      <c r="E15" s="5">
        <f>C15/D15</f>
        <v>1</v>
      </c>
      <c r="F15" s="80" t="s">
        <v>83</v>
      </c>
      <c r="G15" s="83" t="s">
        <v>83</v>
      </c>
      <c r="H15" s="80" t="s">
        <v>83</v>
      </c>
      <c r="I15" s="83" t="s">
        <v>83</v>
      </c>
      <c r="J15" s="83" t="s">
        <v>83</v>
      </c>
      <c r="K15" s="4" t="s">
        <v>7</v>
      </c>
      <c r="L15" s="3" t="s">
        <v>7</v>
      </c>
      <c r="M15" s="4" t="s">
        <v>7</v>
      </c>
      <c r="N15" s="31" t="s">
        <v>7</v>
      </c>
      <c r="O15" s="3" t="s">
        <v>7</v>
      </c>
      <c r="P15" s="285">
        <v>0.6</v>
      </c>
      <c r="Q15" s="277">
        <v>0.7</v>
      </c>
      <c r="R15" s="286">
        <f>P15/Q15</f>
        <v>0.85714285714285721</v>
      </c>
      <c r="S15" s="42"/>
    </row>
    <row r="16" spans="1:19" x14ac:dyDescent="0.35">
      <c r="A16" s="1"/>
      <c r="B16" s="2">
        <v>2</v>
      </c>
      <c r="C16" s="3">
        <v>3</v>
      </c>
      <c r="D16" s="4">
        <v>2.2000000000000002</v>
      </c>
      <c r="E16" s="5" t="s">
        <v>48</v>
      </c>
      <c r="F16" s="80" t="s">
        <v>83</v>
      </c>
      <c r="G16" s="83" t="s">
        <v>83</v>
      </c>
      <c r="H16" s="80" t="s">
        <v>83</v>
      </c>
      <c r="I16" s="83" t="s">
        <v>83</v>
      </c>
      <c r="J16" s="83" t="s">
        <v>83</v>
      </c>
      <c r="K16" s="4" t="s">
        <v>7</v>
      </c>
      <c r="L16" s="3" t="s">
        <v>7</v>
      </c>
      <c r="M16" s="4" t="s">
        <v>7</v>
      </c>
      <c r="N16" s="31" t="s">
        <v>7</v>
      </c>
      <c r="O16" s="3" t="s">
        <v>7</v>
      </c>
      <c r="P16" s="285" t="s">
        <v>83</v>
      </c>
      <c r="Q16" s="277" t="s">
        <v>83</v>
      </c>
      <c r="R16" s="290" t="s">
        <v>83</v>
      </c>
      <c r="S16" s="37" t="s">
        <v>127</v>
      </c>
    </row>
    <row r="17" spans="1:19" x14ac:dyDescent="0.35">
      <c r="A17" s="1"/>
      <c r="B17" s="108">
        <v>3</v>
      </c>
      <c r="C17" s="109">
        <v>1</v>
      </c>
      <c r="D17" s="36">
        <v>1.8</v>
      </c>
      <c r="E17" s="110">
        <f t="shared" ref="E17:E18" si="7">C17/D17</f>
        <v>0.55555555555555558</v>
      </c>
      <c r="F17" s="112" t="s">
        <v>83</v>
      </c>
      <c r="G17" s="113" t="s">
        <v>83</v>
      </c>
      <c r="H17" s="112" t="s">
        <v>83</v>
      </c>
      <c r="I17" s="113" t="s">
        <v>83</v>
      </c>
      <c r="J17" s="113" t="s">
        <v>83</v>
      </c>
      <c r="K17" s="36" t="s">
        <v>7</v>
      </c>
      <c r="L17" s="109" t="s">
        <v>7</v>
      </c>
      <c r="M17" s="36" t="s">
        <v>7</v>
      </c>
      <c r="N17" s="111" t="s">
        <v>7</v>
      </c>
      <c r="O17" s="109" t="s">
        <v>7</v>
      </c>
      <c r="P17" s="112">
        <v>0.9</v>
      </c>
      <c r="Q17" s="113">
        <v>0.8</v>
      </c>
      <c r="R17" s="289">
        <f>P17/Q17</f>
        <v>1.125</v>
      </c>
      <c r="S17" s="37" t="s">
        <v>126</v>
      </c>
    </row>
    <row r="18" spans="1:19" ht="15" thickBot="1" x14ac:dyDescent="0.4">
      <c r="A18" s="1"/>
      <c r="B18" s="2">
        <v>4</v>
      </c>
      <c r="C18" s="3">
        <v>2.5</v>
      </c>
      <c r="D18" s="4">
        <v>1.7</v>
      </c>
      <c r="E18" s="5">
        <f t="shared" si="7"/>
        <v>1.4705882352941178</v>
      </c>
      <c r="F18" s="80" t="s">
        <v>83</v>
      </c>
      <c r="G18" s="83" t="s">
        <v>83</v>
      </c>
      <c r="H18" s="80" t="s">
        <v>83</v>
      </c>
      <c r="I18" s="83" t="s">
        <v>83</v>
      </c>
      <c r="J18" s="83" t="s">
        <v>83</v>
      </c>
      <c r="K18" s="4" t="s">
        <v>7</v>
      </c>
      <c r="L18" s="3" t="s">
        <v>7</v>
      </c>
      <c r="M18" s="4" t="s">
        <v>7</v>
      </c>
      <c r="N18" s="31" t="s">
        <v>7</v>
      </c>
      <c r="O18" s="3" t="s">
        <v>7</v>
      </c>
      <c r="P18" s="80" t="s">
        <v>84</v>
      </c>
      <c r="Q18" s="83" t="s">
        <v>84</v>
      </c>
      <c r="R18" s="82" t="s">
        <v>83</v>
      </c>
      <c r="S18" s="42"/>
    </row>
    <row r="19" spans="1:19" ht="15" thickBot="1" x14ac:dyDescent="0.4">
      <c r="A19" s="1"/>
      <c r="B19" s="35" t="s">
        <v>5</v>
      </c>
      <c r="C19" s="293">
        <f>AVERAGE(C15:C18)</f>
        <v>2.2250000000000001</v>
      </c>
      <c r="D19" s="49">
        <f t="shared" ref="D19:E19" si="8">AVERAGE(D15:D18)</f>
        <v>2.0249999999999999</v>
      </c>
      <c r="E19" s="293">
        <f t="shared" si="8"/>
        <v>1.008714596949891</v>
      </c>
      <c r="F19" s="105" t="s">
        <v>83</v>
      </c>
      <c r="G19" s="105" t="s">
        <v>83</v>
      </c>
      <c r="H19" s="105" t="s">
        <v>83</v>
      </c>
      <c r="I19" s="105" t="s">
        <v>83</v>
      </c>
      <c r="J19" s="105" t="s">
        <v>83</v>
      </c>
      <c r="K19" s="8" t="s">
        <v>7</v>
      </c>
      <c r="L19" s="7" t="s">
        <v>7</v>
      </c>
      <c r="M19" s="8" t="s">
        <v>7</v>
      </c>
      <c r="N19" s="64" t="s">
        <v>7</v>
      </c>
      <c r="O19" s="64" t="s">
        <v>7</v>
      </c>
      <c r="P19" s="283">
        <f>AVERAGE(P15:P16)</f>
        <v>0.6</v>
      </c>
      <c r="Q19" s="283">
        <f>AVERAGE(Q15:Q16)</f>
        <v>0.7</v>
      </c>
      <c r="R19" s="284">
        <f>AVERAGE(R15:R18)</f>
        <v>0.9910714285714286</v>
      </c>
      <c r="S19" s="42"/>
    </row>
    <row r="20" spans="1:19" ht="16.5" customHeight="1" thickBot="1" x14ac:dyDescent="0.5">
      <c r="A20" s="1"/>
      <c r="B20" s="338" t="s">
        <v>55</v>
      </c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40"/>
    </row>
    <row r="21" spans="1:19" x14ac:dyDescent="0.35">
      <c r="A21" s="1"/>
      <c r="B21" s="2">
        <v>1</v>
      </c>
      <c r="C21" s="107">
        <v>12.5</v>
      </c>
      <c r="D21" s="4">
        <v>8.5</v>
      </c>
      <c r="E21" s="5">
        <f>C21/D21</f>
        <v>1.4705882352941178</v>
      </c>
      <c r="F21" s="5">
        <v>62</v>
      </c>
      <c r="G21" s="5">
        <v>7</v>
      </c>
      <c r="H21" s="3">
        <v>8.1</v>
      </c>
      <c r="I21" s="5">
        <f>G21/H21</f>
        <v>0.86419753086419759</v>
      </c>
      <c r="J21" s="5">
        <f>G21/D21</f>
        <v>0.82352941176470584</v>
      </c>
      <c r="K21" s="4">
        <v>6.7</v>
      </c>
      <c r="L21" s="5">
        <f t="shared" ref="L21:L26" si="9">K21/D21</f>
        <v>0.78823529411764703</v>
      </c>
      <c r="M21" s="4" t="s">
        <v>7</v>
      </c>
      <c r="N21" s="3" t="s">
        <v>7</v>
      </c>
      <c r="O21" s="31" t="s">
        <v>7</v>
      </c>
      <c r="P21" s="83" t="s">
        <v>83</v>
      </c>
      <c r="Q21" s="83" t="s">
        <v>83</v>
      </c>
      <c r="R21" s="82" t="s">
        <v>83</v>
      </c>
    </row>
    <row r="22" spans="1:19" x14ac:dyDescent="0.35">
      <c r="A22" s="1"/>
      <c r="B22" s="2">
        <v>2</v>
      </c>
      <c r="C22" s="3">
        <v>14.2</v>
      </c>
      <c r="D22" s="4">
        <v>9.1999999999999993</v>
      </c>
      <c r="E22" s="5">
        <f t="shared" ref="E22:E26" si="10">C22/D22</f>
        <v>1.5434782608695652</v>
      </c>
      <c r="F22" s="5">
        <v>69</v>
      </c>
      <c r="G22" s="5">
        <v>7.2</v>
      </c>
      <c r="H22" s="3">
        <v>9.1999999999999993</v>
      </c>
      <c r="I22" s="5">
        <f t="shared" ref="I22:I25" si="11">G22/H22</f>
        <v>0.78260869565217395</v>
      </c>
      <c r="J22" s="5">
        <f>G22/D22</f>
        <v>0.78260869565217395</v>
      </c>
      <c r="K22" s="4">
        <v>6.5</v>
      </c>
      <c r="L22" s="5">
        <f t="shared" si="9"/>
        <v>0.70652173913043481</v>
      </c>
      <c r="M22" s="4" t="s">
        <v>7</v>
      </c>
      <c r="N22" s="3" t="s">
        <v>7</v>
      </c>
      <c r="O22" s="31">
        <v>20</v>
      </c>
      <c r="P22" s="83" t="s">
        <v>83</v>
      </c>
      <c r="Q22" s="83" t="s">
        <v>83</v>
      </c>
      <c r="R22" s="82" t="s">
        <v>83</v>
      </c>
    </row>
    <row r="23" spans="1:19" x14ac:dyDescent="0.35">
      <c r="A23" s="1"/>
      <c r="B23" s="2">
        <v>3</v>
      </c>
      <c r="C23" s="3">
        <v>14.2</v>
      </c>
      <c r="D23" s="4">
        <v>8.5</v>
      </c>
      <c r="E23" s="5">
        <f t="shared" si="10"/>
        <v>1.6705882352941175</v>
      </c>
      <c r="F23" s="5">
        <v>68</v>
      </c>
      <c r="G23" s="5">
        <v>6.5</v>
      </c>
      <c r="H23" s="3">
        <v>8.1999999999999993</v>
      </c>
      <c r="I23" s="5">
        <f t="shared" si="11"/>
        <v>0.79268292682926833</v>
      </c>
      <c r="J23" s="5">
        <f t="shared" ref="J23:J25" si="12">G23/D23</f>
        <v>0.76470588235294112</v>
      </c>
      <c r="K23" s="4">
        <v>6</v>
      </c>
      <c r="L23" s="5">
        <f t="shared" si="9"/>
        <v>0.70588235294117652</v>
      </c>
      <c r="M23" s="4">
        <f t="shared" ref="M23:M25" si="13">N23+O23</f>
        <v>29</v>
      </c>
      <c r="N23" s="3">
        <v>17</v>
      </c>
      <c r="O23" s="31">
        <v>12</v>
      </c>
      <c r="P23" s="83" t="s">
        <v>83</v>
      </c>
      <c r="Q23" s="83" t="s">
        <v>83</v>
      </c>
      <c r="R23" s="82" t="s">
        <v>83</v>
      </c>
    </row>
    <row r="24" spans="1:19" x14ac:dyDescent="0.35">
      <c r="A24" s="1"/>
      <c r="B24" s="2">
        <v>4</v>
      </c>
      <c r="C24" s="3">
        <v>14.2</v>
      </c>
      <c r="D24" s="4">
        <v>8.8000000000000007</v>
      </c>
      <c r="E24" s="5">
        <f t="shared" si="10"/>
        <v>1.6136363636363635</v>
      </c>
      <c r="F24" s="5">
        <v>70</v>
      </c>
      <c r="G24" s="5">
        <v>6.2</v>
      </c>
      <c r="H24" s="3">
        <v>8.5</v>
      </c>
      <c r="I24" s="5">
        <f t="shared" si="11"/>
        <v>0.72941176470588243</v>
      </c>
      <c r="J24" s="5">
        <f t="shared" si="12"/>
        <v>0.70454545454545447</v>
      </c>
      <c r="K24" s="4">
        <v>6</v>
      </c>
      <c r="L24" s="5">
        <f t="shared" si="9"/>
        <v>0.68181818181818177</v>
      </c>
      <c r="M24" s="4">
        <f t="shared" si="13"/>
        <v>37</v>
      </c>
      <c r="N24" s="3">
        <v>17</v>
      </c>
      <c r="O24" s="31">
        <v>20</v>
      </c>
      <c r="P24" s="83" t="s">
        <v>83</v>
      </c>
      <c r="Q24" s="83" t="s">
        <v>83</v>
      </c>
      <c r="R24" s="82" t="s">
        <v>83</v>
      </c>
    </row>
    <row r="25" spans="1:19" ht="15" customHeight="1" x14ac:dyDescent="0.35">
      <c r="A25" s="1"/>
      <c r="B25" s="2">
        <v>5</v>
      </c>
      <c r="C25" s="3">
        <v>13</v>
      </c>
      <c r="D25" s="4">
        <v>8.5</v>
      </c>
      <c r="E25" s="5">
        <f t="shared" si="10"/>
        <v>1.5294117647058822</v>
      </c>
      <c r="F25" s="5">
        <v>82</v>
      </c>
      <c r="G25" s="5">
        <v>5.6</v>
      </c>
      <c r="H25" s="3">
        <v>8.5</v>
      </c>
      <c r="I25" s="5">
        <f t="shared" si="11"/>
        <v>0.6588235294117647</v>
      </c>
      <c r="J25" s="5">
        <f t="shared" si="12"/>
        <v>0.6588235294117647</v>
      </c>
      <c r="K25" s="4">
        <v>4.7</v>
      </c>
      <c r="L25" s="5">
        <f t="shared" si="9"/>
        <v>0.55294117647058827</v>
      </c>
      <c r="M25" s="4">
        <f t="shared" si="13"/>
        <v>48</v>
      </c>
      <c r="N25" s="3">
        <v>23</v>
      </c>
      <c r="O25" s="31">
        <v>25</v>
      </c>
      <c r="P25" s="83" t="s">
        <v>83</v>
      </c>
      <c r="Q25" s="83" t="s">
        <v>83</v>
      </c>
      <c r="R25" s="82" t="s">
        <v>83</v>
      </c>
    </row>
    <row r="26" spans="1:19" ht="15" thickBot="1" x14ac:dyDescent="0.4">
      <c r="A26" s="1"/>
      <c r="B26" s="2">
        <v>6</v>
      </c>
      <c r="C26" s="3">
        <v>16.8</v>
      </c>
      <c r="D26" s="4">
        <v>8.9</v>
      </c>
      <c r="E26" s="5">
        <f t="shared" si="10"/>
        <v>1.8876404494382022</v>
      </c>
      <c r="F26" s="5">
        <v>69.599999999999994</v>
      </c>
      <c r="G26" s="5">
        <v>6.3</v>
      </c>
      <c r="H26" s="3">
        <v>8.4</v>
      </c>
      <c r="I26" s="5">
        <f>G26/H26</f>
        <v>0.75</v>
      </c>
      <c r="J26" s="5">
        <f>G26/D26</f>
        <v>0.7078651685393258</v>
      </c>
      <c r="K26" s="4">
        <v>6.4</v>
      </c>
      <c r="L26" s="5">
        <f t="shared" si="9"/>
        <v>0.7191011235955056</v>
      </c>
      <c r="M26" s="4">
        <v>35.799999999999997</v>
      </c>
      <c r="N26" s="3">
        <v>21.5</v>
      </c>
      <c r="O26" s="31">
        <v>15.1</v>
      </c>
      <c r="P26" s="83"/>
      <c r="Q26" s="83"/>
      <c r="R26" s="82"/>
    </row>
    <row r="27" spans="1:19" ht="15" thickBot="1" x14ac:dyDescent="0.4">
      <c r="A27" s="1"/>
      <c r="B27" s="35" t="s">
        <v>5</v>
      </c>
      <c r="C27" s="6">
        <f t="shared" ref="C27:L27" si="14">AVERAGE(C21:C26)</f>
        <v>14.149999999999999</v>
      </c>
      <c r="D27" s="6">
        <f t="shared" si="14"/>
        <v>8.7333333333333325</v>
      </c>
      <c r="E27" s="6">
        <f t="shared" si="14"/>
        <v>1.6192238848730414</v>
      </c>
      <c r="F27" s="6">
        <f t="shared" si="14"/>
        <v>70.100000000000009</v>
      </c>
      <c r="G27" s="6">
        <f t="shared" si="14"/>
        <v>6.4666666666666659</v>
      </c>
      <c r="H27" s="6">
        <f t="shared" si="14"/>
        <v>8.4833333333333325</v>
      </c>
      <c r="I27" s="6">
        <f t="shared" si="14"/>
        <v>0.76295407457721465</v>
      </c>
      <c r="J27" s="6">
        <f t="shared" si="14"/>
        <v>0.74034635704439433</v>
      </c>
      <c r="K27" s="6">
        <f t="shared" si="14"/>
        <v>6.05</v>
      </c>
      <c r="L27" s="6">
        <f t="shared" si="14"/>
        <v>0.69241664467892239</v>
      </c>
      <c r="M27" s="7">
        <f>AVERAGE(M21:M25)</f>
        <v>38</v>
      </c>
      <c r="N27" s="7">
        <f>AVERAGE(N21:N26)</f>
        <v>19.625</v>
      </c>
      <c r="O27" s="81">
        <f>AVERAGE(O21:O26)</f>
        <v>18.419999999999998</v>
      </c>
      <c r="P27" s="105" t="s">
        <v>83</v>
      </c>
      <c r="Q27" s="105" t="s">
        <v>83</v>
      </c>
      <c r="R27" s="106" t="s">
        <v>83</v>
      </c>
    </row>
    <row r="28" spans="1:19" ht="19" thickBot="1" x14ac:dyDescent="0.4">
      <c r="A28" s="1"/>
      <c r="B28" s="341" t="s">
        <v>52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3"/>
      <c r="S28" s="42"/>
    </row>
    <row r="29" spans="1:19" x14ac:dyDescent="0.35">
      <c r="A29" s="1"/>
      <c r="B29" s="2">
        <v>1</v>
      </c>
      <c r="C29" s="5" t="s">
        <v>54</v>
      </c>
      <c r="D29" s="14">
        <v>3.2</v>
      </c>
      <c r="E29" s="52">
        <f>3/3.2</f>
        <v>0.9375</v>
      </c>
      <c r="F29" s="83" t="s">
        <v>83</v>
      </c>
      <c r="G29" s="83" t="s">
        <v>83</v>
      </c>
      <c r="H29" s="83" t="s">
        <v>83</v>
      </c>
      <c r="I29" s="83" t="s">
        <v>83</v>
      </c>
      <c r="J29" s="83" t="s">
        <v>83</v>
      </c>
      <c r="K29" s="4" t="s">
        <v>7</v>
      </c>
      <c r="L29" s="3" t="s">
        <v>7</v>
      </c>
      <c r="M29" s="4" t="s">
        <v>7</v>
      </c>
      <c r="N29" s="31" t="s">
        <v>7</v>
      </c>
      <c r="O29" s="31" t="s">
        <v>7</v>
      </c>
      <c r="P29" s="83" t="s">
        <v>83</v>
      </c>
      <c r="Q29" s="83" t="s">
        <v>83</v>
      </c>
      <c r="R29" s="120" t="s">
        <v>83</v>
      </c>
      <c r="S29" s="1"/>
    </row>
    <row r="30" spans="1:19" x14ac:dyDescent="0.35">
      <c r="A30" s="1"/>
      <c r="B30" s="2">
        <v>2</v>
      </c>
      <c r="C30" s="5">
        <v>3.4</v>
      </c>
      <c r="D30" s="14">
        <v>2.2999999999999998</v>
      </c>
      <c r="E30" s="52">
        <f t="shared" ref="E30:E31" si="15">C30/D30</f>
        <v>1.4782608695652175</v>
      </c>
      <c r="F30" s="83" t="s">
        <v>83</v>
      </c>
      <c r="G30" s="83" t="s">
        <v>83</v>
      </c>
      <c r="H30" s="83" t="s">
        <v>83</v>
      </c>
      <c r="I30" s="83" t="s">
        <v>83</v>
      </c>
      <c r="J30" s="83" t="s">
        <v>83</v>
      </c>
      <c r="K30" s="4" t="s">
        <v>7</v>
      </c>
      <c r="L30" s="3" t="s">
        <v>7</v>
      </c>
      <c r="M30" s="4" t="s">
        <v>7</v>
      </c>
      <c r="N30" s="31" t="s">
        <v>7</v>
      </c>
      <c r="O30" s="31" t="s">
        <v>7</v>
      </c>
      <c r="P30" s="83" t="s">
        <v>83</v>
      </c>
      <c r="Q30" s="83" t="s">
        <v>83</v>
      </c>
      <c r="R30" s="120" t="s">
        <v>83</v>
      </c>
      <c r="S30" s="1"/>
    </row>
    <row r="31" spans="1:19" ht="15" thickBot="1" x14ac:dyDescent="0.4">
      <c r="A31" s="1"/>
      <c r="B31" s="2">
        <v>3</v>
      </c>
      <c r="C31" s="5">
        <v>3.6</v>
      </c>
      <c r="D31" s="14">
        <v>2.8</v>
      </c>
      <c r="E31" s="52">
        <f t="shared" si="15"/>
        <v>1.2857142857142858</v>
      </c>
      <c r="F31" s="83" t="s">
        <v>83</v>
      </c>
      <c r="G31" s="83" t="s">
        <v>83</v>
      </c>
      <c r="H31" s="83" t="s">
        <v>83</v>
      </c>
      <c r="I31" s="83" t="s">
        <v>83</v>
      </c>
      <c r="J31" s="83" t="s">
        <v>83</v>
      </c>
      <c r="K31" s="4" t="s">
        <v>7</v>
      </c>
      <c r="L31" s="3" t="s">
        <v>7</v>
      </c>
      <c r="M31" s="4" t="s">
        <v>7</v>
      </c>
      <c r="N31" s="31" t="s">
        <v>7</v>
      </c>
      <c r="O31" s="31" t="s">
        <v>7</v>
      </c>
      <c r="P31" s="83" t="s">
        <v>83</v>
      </c>
      <c r="Q31" s="83" t="s">
        <v>83</v>
      </c>
      <c r="R31" s="120" t="s">
        <v>83</v>
      </c>
      <c r="S31" s="1"/>
    </row>
    <row r="32" spans="1:19" ht="15" thickBot="1" x14ac:dyDescent="0.4">
      <c r="B32" s="35" t="s">
        <v>5</v>
      </c>
      <c r="C32" s="293">
        <v>3</v>
      </c>
      <c r="D32" s="49">
        <f t="shared" ref="D32:E32" si="16">AVERAGE(D29:D31)</f>
        <v>2.7666666666666671</v>
      </c>
      <c r="E32" s="293">
        <f t="shared" si="16"/>
        <v>1.2338250517598344</v>
      </c>
      <c r="F32" s="105" t="s">
        <v>83</v>
      </c>
      <c r="G32" s="105" t="s">
        <v>83</v>
      </c>
      <c r="H32" s="105" t="s">
        <v>83</v>
      </c>
      <c r="I32" s="105" t="s">
        <v>83</v>
      </c>
      <c r="J32" s="105" t="s">
        <v>83</v>
      </c>
      <c r="K32" s="8" t="s">
        <v>7</v>
      </c>
      <c r="L32" s="7" t="s">
        <v>7</v>
      </c>
      <c r="M32" s="8" t="s">
        <v>7</v>
      </c>
      <c r="N32" s="64" t="s">
        <v>7</v>
      </c>
      <c r="O32" s="64" t="s">
        <v>7</v>
      </c>
      <c r="P32" s="105" t="s">
        <v>83</v>
      </c>
      <c r="Q32" s="105" t="s">
        <v>83</v>
      </c>
      <c r="R32" s="106" t="s">
        <v>83</v>
      </c>
      <c r="S32" s="1"/>
    </row>
    <row r="33" spans="2:21" ht="19" thickBot="1" x14ac:dyDescent="0.4">
      <c r="B33" s="341" t="s">
        <v>57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3"/>
      <c r="S33" s="1"/>
    </row>
    <row r="34" spans="2:21" x14ac:dyDescent="0.35">
      <c r="B34" s="2">
        <v>1</v>
      </c>
      <c r="C34" s="5">
        <v>2.4</v>
      </c>
      <c r="D34" s="14">
        <v>2.2000000000000002</v>
      </c>
      <c r="E34" s="5">
        <f>C34/D34</f>
        <v>1.0909090909090908</v>
      </c>
      <c r="F34" s="80" t="s">
        <v>83</v>
      </c>
      <c r="G34" s="83" t="s">
        <v>83</v>
      </c>
      <c r="H34" s="83" t="s">
        <v>83</v>
      </c>
      <c r="I34" s="83" t="s">
        <v>83</v>
      </c>
      <c r="J34" s="83" t="s">
        <v>83</v>
      </c>
      <c r="K34" s="4" t="s">
        <v>7</v>
      </c>
      <c r="L34" s="3" t="s">
        <v>7</v>
      </c>
      <c r="M34" s="4" t="s">
        <v>7</v>
      </c>
      <c r="N34" s="31" t="s">
        <v>7</v>
      </c>
      <c r="O34" s="31" t="s">
        <v>7</v>
      </c>
      <c r="P34" s="83" t="s">
        <v>83</v>
      </c>
      <c r="Q34" s="83" t="s">
        <v>83</v>
      </c>
      <c r="R34" s="120" t="s">
        <v>83</v>
      </c>
      <c r="S34" s="1"/>
    </row>
    <row r="35" spans="2:21" x14ac:dyDescent="0.35">
      <c r="B35" s="2">
        <v>2</v>
      </c>
      <c r="C35" s="5" t="s">
        <v>53</v>
      </c>
      <c r="D35" s="14">
        <v>2.2999999999999998</v>
      </c>
      <c r="E35" s="5">
        <f>1.8/D35</f>
        <v>0.78260869565217395</v>
      </c>
      <c r="F35" s="80" t="s">
        <v>83</v>
      </c>
      <c r="G35" s="83" t="s">
        <v>83</v>
      </c>
      <c r="H35" s="83" t="s">
        <v>83</v>
      </c>
      <c r="I35" s="83" t="s">
        <v>83</v>
      </c>
      <c r="J35" s="83" t="s">
        <v>83</v>
      </c>
      <c r="K35" s="4" t="s">
        <v>7</v>
      </c>
      <c r="L35" s="3" t="s">
        <v>7</v>
      </c>
      <c r="M35" s="4" t="s">
        <v>7</v>
      </c>
      <c r="N35" s="31" t="s">
        <v>7</v>
      </c>
      <c r="O35" s="31" t="s">
        <v>7</v>
      </c>
      <c r="P35" s="83" t="s">
        <v>83</v>
      </c>
      <c r="Q35" s="83" t="s">
        <v>83</v>
      </c>
      <c r="R35" s="120" t="s">
        <v>83</v>
      </c>
      <c r="S35" s="1"/>
    </row>
    <row r="36" spans="2:21" x14ac:dyDescent="0.35">
      <c r="B36" s="2">
        <v>3</v>
      </c>
      <c r="C36" s="5">
        <v>2.4</v>
      </c>
      <c r="D36" s="14">
        <v>2.1</v>
      </c>
      <c r="E36" s="5">
        <f t="shared" ref="E36:E37" si="17">C36/D36</f>
        <v>1.1428571428571428</v>
      </c>
      <c r="F36" s="80" t="s">
        <v>83</v>
      </c>
      <c r="G36" s="83" t="s">
        <v>83</v>
      </c>
      <c r="H36" s="83" t="s">
        <v>83</v>
      </c>
      <c r="I36" s="83" t="s">
        <v>83</v>
      </c>
      <c r="J36" s="83" t="s">
        <v>83</v>
      </c>
      <c r="K36" s="4" t="s">
        <v>7</v>
      </c>
      <c r="L36" s="3" t="s">
        <v>7</v>
      </c>
      <c r="M36" s="4" t="s">
        <v>7</v>
      </c>
      <c r="N36" s="31" t="s">
        <v>7</v>
      </c>
      <c r="O36" s="31" t="s">
        <v>7</v>
      </c>
      <c r="P36" s="83" t="s">
        <v>83</v>
      </c>
      <c r="Q36" s="83" t="s">
        <v>83</v>
      </c>
      <c r="R36" s="120" t="s">
        <v>83</v>
      </c>
      <c r="S36" s="1"/>
    </row>
    <row r="37" spans="2:21" ht="15" thickBot="1" x14ac:dyDescent="0.4">
      <c r="B37" s="2">
        <v>4</v>
      </c>
      <c r="C37" s="5">
        <v>2.6</v>
      </c>
      <c r="D37" s="14">
        <v>2.4</v>
      </c>
      <c r="E37" s="5">
        <f t="shared" si="17"/>
        <v>1.0833333333333335</v>
      </c>
      <c r="F37" s="80" t="s">
        <v>83</v>
      </c>
      <c r="G37" s="83" t="s">
        <v>83</v>
      </c>
      <c r="H37" s="83" t="s">
        <v>83</v>
      </c>
      <c r="I37" s="83" t="s">
        <v>83</v>
      </c>
      <c r="J37" s="83" t="s">
        <v>83</v>
      </c>
      <c r="K37" s="4" t="s">
        <v>7</v>
      </c>
      <c r="L37" s="3" t="s">
        <v>7</v>
      </c>
      <c r="M37" s="4" t="s">
        <v>7</v>
      </c>
      <c r="N37" s="31" t="s">
        <v>7</v>
      </c>
      <c r="O37" s="31" t="s">
        <v>7</v>
      </c>
      <c r="P37" s="83" t="s">
        <v>83</v>
      </c>
      <c r="Q37" s="83" t="s">
        <v>83</v>
      </c>
      <c r="R37" s="120" t="s">
        <v>83</v>
      </c>
      <c r="S37" s="1"/>
    </row>
    <row r="38" spans="2:21" ht="15" thickBot="1" x14ac:dyDescent="0.4">
      <c r="B38" s="35" t="s">
        <v>5</v>
      </c>
      <c r="C38" s="293">
        <v>2.2999999999999998</v>
      </c>
      <c r="D38" s="293">
        <f>AVERAGE(D34:D37)</f>
        <v>2.25</v>
      </c>
      <c r="E38" s="293">
        <f>AVERAGE(E34:E37)</f>
        <v>1.0249270656879352</v>
      </c>
      <c r="F38" s="105" t="s">
        <v>83</v>
      </c>
      <c r="G38" s="105" t="s">
        <v>83</v>
      </c>
      <c r="H38" s="105" t="s">
        <v>83</v>
      </c>
      <c r="I38" s="105" t="s">
        <v>83</v>
      </c>
      <c r="J38" s="105" t="s">
        <v>83</v>
      </c>
      <c r="K38" s="7" t="s">
        <v>7</v>
      </c>
      <c r="L38" s="7" t="s">
        <v>7</v>
      </c>
      <c r="M38" s="7" t="s">
        <v>7</v>
      </c>
      <c r="N38" s="64" t="s">
        <v>7</v>
      </c>
      <c r="O38" s="64" t="s">
        <v>7</v>
      </c>
      <c r="P38" s="105" t="s">
        <v>83</v>
      </c>
      <c r="Q38" s="105" t="s">
        <v>83</v>
      </c>
      <c r="R38" s="106" t="s">
        <v>83</v>
      </c>
      <c r="S38" s="1"/>
    </row>
    <row r="39" spans="2:21" ht="15" thickBot="1" x14ac:dyDescent="0.4">
      <c r="B39" s="66"/>
      <c r="C39" s="38"/>
      <c r="D39" s="55"/>
      <c r="E39" s="38"/>
      <c r="F39" s="55"/>
      <c r="G39" s="55"/>
      <c r="H39" s="55"/>
      <c r="I39" s="55"/>
      <c r="J39" s="55"/>
    </row>
    <row r="40" spans="2:21" ht="44" thickBot="1" x14ac:dyDescent="0.4">
      <c r="B40" s="122" t="s">
        <v>0</v>
      </c>
      <c r="C40" s="117" t="s">
        <v>115</v>
      </c>
      <c r="D40" s="117" t="s">
        <v>114</v>
      </c>
      <c r="E40" s="117" t="s">
        <v>62</v>
      </c>
      <c r="F40" s="123" t="s">
        <v>129</v>
      </c>
      <c r="G40" s="124" t="s">
        <v>125</v>
      </c>
      <c r="H40" s="124" t="s">
        <v>128</v>
      </c>
      <c r="I40" s="124" t="s">
        <v>130</v>
      </c>
      <c r="J40" s="124" t="s">
        <v>124</v>
      </c>
      <c r="K40" s="117" t="s">
        <v>1</v>
      </c>
      <c r="L40" s="117" t="s">
        <v>116</v>
      </c>
      <c r="M40" s="117" t="s">
        <v>2</v>
      </c>
      <c r="N40" s="117" t="s">
        <v>3</v>
      </c>
      <c r="O40" s="117" t="s">
        <v>4</v>
      </c>
      <c r="P40" s="117" t="s">
        <v>112</v>
      </c>
      <c r="Q40" s="125" t="s">
        <v>113</v>
      </c>
      <c r="R40" s="126" t="s">
        <v>122</v>
      </c>
    </row>
    <row r="41" spans="2:21" ht="19" thickBot="1" x14ac:dyDescent="0.5">
      <c r="B41" s="347" t="s">
        <v>121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9"/>
    </row>
    <row r="42" spans="2:21" x14ac:dyDescent="0.35">
      <c r="B42" s="62">
        <v>1</v>
      </c>
      <c r="C42" s="3">
        <v>3.7</v>
      </c>
      <c r="D42" s="3">
        <v>3.6</v>
      </c>
      <c r="E42" s="5">
        <f>C42/D42</f>
        <v>1.0277777777777779</v>
      </c>
      <c r="F42" s="59">
        <v>122</v>
      </c>
      <c r="G42" s="59">
        <v>1</v>
      </c>
      <c r="H42" s="31">
        <v>3.3</v>
      </c>
      <c r="I42" s="5">
        <f>G42/H42</f>
        <v>0.30303030303030304</v>
      </c>
      <c r="J42" s="5">
        <f>G42/D42</f>
        <v>0.27777777777777779</v>
      </c>
      <c r="K42" s="58">
        <v>1</v>
      </c>
      <c r="L42" s="5">
        <f>K42/D42</f>
        <v>0.27777777777777779</v>
      </c>
      <c r="M42" s="3">
        <v>50</v>
      </c>
      <c r="N42" s="31">
        <v>27</v>
      </c>
      <c r="O42" s="3">
        <v>27</v>
      </c>
      <c r="P42" s="72">
        <v>1.6</v>
      </c>
      <c r="Q42" s="85">
        <v>1</v>
      </c>
      <c r="R42" s="127">
        <f>P42/Q42</f>
        <v>1.6</v>
      </c>
    </row>
    <row r="43" spans="2:21" x14ac:dyDescent="0.35">
      <c r="B43" s="62">
        <v>2</v>
      </c>
      <c r="C43" s="3">
        <v>3.8</v>
      </c>
      <c r="D43" s="3">
        <v>3.1</v>
      </c>
      <c r="E43" s="5">
        <f>C43/D43</f>
        <v>1.225806451612903</v>
      </c>
      <c r="F43" s="59">
        <v>117</v>
      </c>
      <c r="G43" s="59">
        <v>0.9</v>
      </c>
      <c r="H43" s="31">
        <v>2.8</v>
      </c>
      <c r="I43" s="5">
        <f t="shared" ref="I43:I51" si="18">G43/H43</f>
        <v>0.32142857142857145</v>
      </c>
      <c r="J43" s="5">
        <f t="shared" ref="J43:J51" si="19">G43/D43</f>
        <v>0.29032258064516131</v>
      </c>
      <c r="K43" s="58">
        <v>1</v>
      </c>
      <c r="L43" s="5">
        <f>K43/D43</f>
        <v>0.32258064516129031</v>
      </c>
      <c r="M43" s="3">
        <v>41</v>
      </c>
      <c r="N43" s="31">
        <v>20</v>
      </c>
      <c r="O43" s="3">
        <v>29</v>
      </c>
      <c r="P43" s="72">
        <v>1.7</v>
      </c>
      <c r="Q43" s="85">
        <v>1.2</v>
      </c>
      <c r="R43" s="127">
        <f t="shared" ref="R43:R52" si="20">P43/Q43</f>
        <v>1.4166666666666667</v>
      </c>
    </row>
    <row r="44" spans="2:21" s="303" customFormat="1" x14ac:dyDescent="0.35">
      <c r="B44" s="62">
        <v>3</v>
      </c>
      <c r="C44" s="3">
        <v>4.2</v>
      </c>
      <c r="D44" s="3">
        <v>2.9</v>
      </c>
      <c r="E44" s="5">
        <f t="shared" ref="E44:E51" si="21">C44/D44</f>
        <v>1.4482758620689655</v>
      </c>
      <c r="F44" s="59">
        <v>91</v>
      </c>
      <c r="G44" s="59">
        <v>1.2</v>
      </c>
      <c r="H44" s="31">
        <v>2.9</v>
      </c>
      <c r="I44" s="5">
        <f t="shared" si="18"/>
        <v>0.41379310344827586</v>
      </c>
      <c r="J44" s="5">
        <f t="shared" si="19"/>
        <v>0.41379310344827586</v>
      </c>
      <c r="K44" s="58">
        <v>1.3</v>
      </c>
      <c r="L44" s="5">
        <f t="shared" ref="L44:L51" si="22">K44/D44</f>
        <v>0.44827586206896552</v>
      </c>
      <c r="M44" s="3">
        <v>48</v>
      </c>
      <c r="N44" s="31">
        <v>22</v>
      </c>
      <c r="O44" s="3">
        <v>26</v>
      </c>
      <c r="P44" s="72">
        <v>1.2</v>
      </c>
      <c r="Q44" s="85">
        <v>1.3</v>
      </c>
      <c r="R44" s="127">
        <f t="shared" si="20"/>
        <v>0.92307692307692302</v>
      </c>
      <c r="S44"/>
      <c r="T44"/>
      <c r="U44"/>
    </row>
    <row r="45" spans="2:21" x14ac:dyDescent="0.35">
      <c r="B45" s="62">
        <v>4</v>
      </c>
      <c r="C45" s="3">
        <v>4.3</v>
      </c>
      <c r="D45" s="3">
        <v>3.5</v>
      </c>
      <c r="E45" s="5">
        <f t="shared" si="21"/>
        <v>1.2285714285714284</v>
      </c>
      <c r="F45" s="59">
        <v>115</v>
      </c>
      <c r="G45" s="59">
        <v>0.8</v>
      </c>
      <c r="H45" s="31">
        <v>3</v>
      </c>
      <c r="I45" s="5">
        <f t="shared" si="18"/>
        <v>0.26666666666666666</v>
      </c>
      <c r="J45" s="5">
        <f t="shared" si="19"/>
        <v>0.22857142857142859</v>
      </c>
      <c r="K45" s="59">
        <v>0.9</v>
      </c>
      <c r="L45" s="5">
        <f t="shared" si="22"/>
        <v>0.25714285714285717</v>
      </c>
      <c r="M45" s="3">
        <v>54</v>
      </c>
      <c r="N45" s="31">
        <v>22</v>
      </c>
      <c r="O45" s="3">
        <v>30</v>
      </c>
      <c r="P45" s="72">
        <v>1.6</v>
      </c>
      <c r="Q45" s="85">
        <v>1.3</v>
      </c>
      <c r="R45" s="127">
        <f t="shared" si="20"/>
        <v>1.2307692307692308</v>
      </c>
    </row>
    <row r="46" spans="2:21" x14ac:dyDescent="0.35">
      <c r="B46" s="62">
        <v>5</v>
      </c>
      <c r="C46" s="3">
        <v>3.6</v>
      </c>
      <c r="D46" s="3">
        <v>3.6</v>
      </c>
      <c r="E46" s="5">
        <f>C46/D46</f>
        <v>1</v>
      </c>
      <c r="F46" s="59">
        <v>95</v>
      </c>
      <c r="G46" s="59">
        <v>1.3</v>
      </c>
      <c r="H46" s="31">
        <v>3.2</v>
      </c>
      <c r="I46" s="5">
        <f t="shared" si="18"/>
        <v>0.40625</v>
      </c>
      <c r="J46" s="5">
        <f t="shared" si="19"/>
        <v>0.3611111111111111</v>
      </c>
      <c r="K46" s="58">
        <v>1.2</v>
      </c>
      <c r="L46" s="5">
        <f t="shared" si="22"/>
        <v>0.33333333333333331</v>
      </c>
      <c r="M46" s="3">
        <v>54</v>
      </c>
      <c r="N46" s="31">
        <v>23</v>
      </c>
      <c r="O46" s="3">
        <v>32</v>
      </c>
      <c r="P46" s="58" t="s">
        <v>7</v>
      </c>
      <c r="Q46" s="3" t="s">
        <v>7</v>
      </c>
      <c r="R46" s="127" t="s">
        <v>7</v>
      </c>
    </row>
    <row r="47" spans="2:21" x14ac:dyDescent="0.35">
      <c r="B47" s="62">
        <v>6</v>
      </c>
      <c r="C47" s="3">
        <v>3.1</v>
      </c>
      <c r="D47" s="3">
        <v>2.5</v>
      </c>
      <c r="E47" s="5">
        <f t="shared" si="21"/>
        <v>1.24</v>
      </c>
      <c r="F47" s="59">
        <v>100</v>
      </c>
      <c r="G47" s="59">
        <v>0.9</v>
      </c>
      <c r="H47" s="31">
        <v>2.4</v>
      </c>
      <c r="I47" s="5">
        <f t="shared" si="18"/>
        <v>0.375</v>
      </c>
      <c r="J47" s="5">
        <f t="shared" si="19"/>
        <v>0.36</v>
      </c>
      <c r="K47" s="58">
        <v>0.8</v>
      </c>
      <c r="L47" s="5">
        <f t="shared" si="22"/>
        <v>0.32</v>
      </c>
      <c r="M47" s="3">
        <v>52</v>
      </c>
      <c r="N47" s="31">
        <v>23</v>
      </c>
      <c r="O47" s="3">
        <v>25</v>
      </c>
      <c r="P47" s="72">
        <v>1.2</v>
      </c>
      <c r="Q47" s="85">
        <v>1.2</v>
      </c>
      <c r="R47" s="127">
        <f t="shared" si="20"/>
        <v>1</v>
      </c>
    </row>
    <row r="48" spans="2:21" x14ac:dyDescent="0.35">
      <c r="B48" s="62">
        <v>7</v>
      </c>
      <c r="C48" s="3">
        <v>3.6</v>
      </c>
      <c r="D48" s="3">
        <v>2.5</v>
      </c>
      <c r="E48" s="5">
        <f t="shared" si="21"/>
        <v>1.44</v>
      </c>
      <c r="F48" s="59">
        <v>117</v>
      </c>
      <c r="G48" s="59">
        <v>0.8</v>
      </c>
      <c r="H48" s="31">
        <v>2.2000000000000002</v>
      </c>
      <c r="I48" s="5">
        <f t="shared" si="18"/>
        <v>0.36363636363636365</v>
      </c>
      <c r="J48" s="5">
        <f t="shared" si="19"/>
        <v>0.32</v>
      </c>
      <c r="K48" s="58">
        <v>0.7</v>
      </c>
      <c r="L48" s="5">
        <f t="shared" si="22"/>
        <v>0.27999999999999997</v>
      </c>
      <c r="M48" s="3">
        <v>42</v>
      </c>
      <c r="N48" s="31">
        <v>22</v>
      </c>
      <c r="O48" s="3">
        <v>18</v>
      </c>
      <c r="P48" s="58" t="s">
        <v>7</v>
      </c>
      <c r="Q48" s="3" t="s">
        <v>7</v>
      </c>
      <c r="R48" s="127" t="s">
        <v>7</v>
      </c>
    </row>
    <row r="49" spans="2:21" x14ac:dyDescent="0.35">
      <c r="B49" s="63">
        <v>8</v>
      </c>
      <c r="C49" s="5">
        <v>4.8</v>
      </c>
      <c r="D49" s="5">
        <v>2.8</v>
      </c>
      <c r="E49" s="5">
        <f t="shared" si="21"/>
        <v>1.7142857142857144</v>
      </c>
      <c r="F49" s="59">
        <v>91</v>
      </c>
      <c r="G49" s="59">
        <v>1.9</v>
      </c>
      <c r="H49" s="32">
        <v>2.7</v>
      </c>
      <c r="I49" s="5">
        <f t="shared" si="18"/>
        <v>0.70370370370370361</v>
      </c>
      <c r="J49" s="5">
        <f t="shared" si="19"/>
        <v>0.6785714285714286</v>
      </c>
      <c r="K49" s="59">
        <v>1.7</v>
      </c>
      <c r="L49" s="5">
        <f t="shared" si="22"/>
        <v>0.60714285714285721</v>
      </c>
      <c r="M49" s="30">
        <v>42</v>
      </c>
      <c r="N49" s="31">
        <v>25</v>
      </c>
      <c r="O49" s="30">
        <v>22</v>
      </c>
      <c r="P49" s="72">
        <v>2.8</v>
      </c>
      <c r="Q49" s="86">
        <v>2.2000000000000002</v>
      </c>
      <c r="R49" s="127">
        <f t="shared" si="20"/>
        <v>1.2727272727272725</v>
      </c>
    </row>
    <row r="50" spans="2:21" x14ac:dyDescent="0.35">
      <c r="B50" s="62">
        <v>9</v>
      </c>
      <c r="C50" s="3">
        <v>2.9</v>
      </c>
      <c r="D50" s="3">
        <v>3.6</v>
      </c>
      <c r="E50" s="5">
        <f t="shared" si="21"/>
        <v>0.80555555555555547</v>
      </c>
      <c r="F50" s="59">
        <v>125</v>
      </c>
      <c r="G50" s="59">
        <v>1</v>
      </c>
      <c r="H50" s="31">
        <v>3.2</v>
      </c>
      <c r="I50" s="5">
        <f t="shared" si="18"/>
        <v>0.3125</v>
      </c>
      <c r="J50" s="5">
        <f t="shared" si="19"/>
        <v>0.27777777777777779</v>
      </c>
      <c r="K50" s="58">
        <v>0.8</v>
      </c>
      <c r="L50" s="5">
        <f t="shared" si="22"/>
        <v>0.22222222222222224</v>
      </c>
      <c r="M50" s="3">
        <v>71</v>
      </c>
      <c r="N50" s="31">
        <v>36</v>
      </c>
      <c r="O50" s="3">
        <v>34</v>
      </c>
      <c r="P50" s="72">
        <v>2.9</v>
      </c>
      <c r="Q50" s="85">
        <v>2.2999999999999998</v>
      </c>
      <c r="R50" s="127">
        <f t="shared" si="20"/>
        <v>1.2608695652173914</v>
      </c>
    </row>
    <row r="51" spans="2:21" ht="15" thickBot="1" x14ac:dyDescent="0.4">
      <c r="B51" s="62">
        <v>10</v>
      </c>
      <c r="C51" s="3">
        <v>3.8</v>
      </c>
      <c r="D51" s="3">
        <v>2.6</v>
      </c>
      <c r="E51" s="5">
        <f t="shared" si="21"/>
        <v>1.4615384615384615</v>
      </c>
      <c r="F51" s="59">
        <v>103</v>
      </c>
      <c r="G51" s="59">
        <v>0.7</v>
      </c>
      <c r="H51" s="31">
        <v>2.6</v>
      </c>
      <c r="I51" s="5">
        <f t="shared" si="18"/>
        <v>0.26923076923076922</v>
      </c>
      <c r="J51" s="5">
        <f t="shared" si="19"/>
        <v>0.26923076923076922</v>
      </c>
      <c r="K51" s="58">
        <v>1</v>
      </c>
      <c r="L51" s="5">
        <f t="shared" si="22"/>
        <v>0.38461538461538458</v>
      </c>
      <c r="M51" s="3">
        <v>50</v>
      </c>
      <c r="N51" s="31">
        <v>26</v>
      </c>
      <c r="O51" s="3">
        <v>28</v>
      </c>
      <c r="P51" s="72">
        <v>2.9</v>
      </c>
      <c r="Q51" s="85">
        <v>2.2999999999999998</v>
      </c>
      <c r="R51" s="127">
        <f t="shared" si="20"/>
        <v>1.2608695652173914</v>
      </c>
    </row>
    <row r="52" spans="2:21" ht="15" thickBot="1" x14ac:dyDescent="0.4">
      <c r="B52" s="296" t="s">
        <v>5</v>
      </c>
      <c r="C52" s="293">
        <f>AVERAGE(C42:C51)</f>
        <v>3.7800000000000002</v>
      </c>
      <c r="D52" s="297">
        <f t="shared" ref="D52:Q52" si="23">AVERAGE(D42:D51)</f>
        <v>3.0700000000000003</v>
      </c>
      <c r="E52" s="297">
        <f t="shared" si="23"/>
        <v>1.2591811251410807</v>
      </c>
      <c r="F52" s="297">
        <f>AVERAGE(F42:F51)</f>
        <v>107.6</v>
      </c>
      <c r="G52" s="297">
        <f t="shared" ref="G52:H52" si="24">AVERAGE(G42:G51)</f>
        <v>1.0499999999999998</v>
      </c>
      <c r="H52" s="297">
        <f t="shared" si="24"/>
        <v>2.8299999999999996</v>
      </c>
      <c r="I52" s="297">
        <f t="shared" ref="I52" si="25">AVERAGE(I42:I51)</f>
        <v>0.37352394811446538</v>
      </c>
      <c r="J52" s="297">
        <f t="shared" ref="J52" si="26">AVERAGE(J42:J51)</f>
        <v>0.34771559771337301</v>
      </c>
      <c r="K52" s="297">
        <f t="shared" si="23"/>
        <v>1.04</v>
      </c>
      <c r="L52" s="297">
        <f t="shared" si="23"/>
        <v>0.3453090939464688</v>
      </c>
      <c r="M52" s="297">
        <f t="shared" si="23"/>
        <v>50.4</v>
      </c>
      <c r="N52" s="298">
        <f t="shared" si="23"/>
        <v>24.6</v>
      </c>
      <c r="O52" s="299">
        <f t="shared" si="23"/>
        <v>27.1</v>
      </c>
      <c r="P52" s="300">
        <f t="shared" si="23"/>
        <v>1.9875</v>
      </c>
      <c r="Q52" s="301">
        <f t="shared" si="23"/>
        <v>1.6</v>
      </c>
      <c r="R52" s="302">
        <f t="shared" si="20"/>
        <v>1.2421875</v>
      </c>
      <c r="S52" s="303"/>
      <c r="T52" s="303"/>
      <c r="U52" s="303"/>
    </row>
  </sheetData>
  <mergeCells count="6">
    <mergeCell ref="B41:R41"/>
    <mergeCell ref="B4:R4"/>
    <mergeCell ref="B20:R20"/>
    <mergeCell ref="B33:R33"/>
    <mergeCell ref="B14:R14"/>
    <mergeCell ref="B28:R2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R50"/>
  <sheetViews>
    <sheetView zoomScale="92" zoomScaleNormal="92" workbookViewId="0">
      <selection activeCell="Q19" sqref="Q19"/>
    </sheetView>
  </sheetViews>
  <sheetFormatPr defaultRowHeight="14.5" x14ac:dyDescent="0.35"/>
  <cols>
    <col min="1" max="1" width="10.81640625" customWidth="1"/>
    <col min="2" max="2" width="9.81640625" customWidth="1"/>
    <col min="3" max="3" width="6.81640625" bestFit="1" customWidth="1"/>
    <col min="4" max="4" width="6.36328125" customWidth="1"/>
    <col min="5" max="11" width="10.453125" customWidth="1"/>
    <col min="12" max="12" width="8.453125" customWidth="1"/>
    <col min="13" max="13" width="9.81640625" customWidth="1"/>
    <col min="14" max="17" width="8.36328125" customWidth="1"/>
    <col min="18" max="18" width="10.81640625" customWidth="1"/>
    <col min="19" max="19" width="10.90625" customWidth="1"/>
    <col min="20" max="21" width="7.36328125" customWidth="1"/>
    <col min="22" max="22" width="13.08984375" customWidth="1"/>
    <col min="23" max="23" width="6.1796875" customWidth="1"/>
    <col min="24" max="24" width="10.6328125" bestFit="1" customWidth="1"/>
    <col min="25" max="25" width="6.54296875" customWidth="1"/>
    <col min="26" max="26" width="8.08984375" customWidth="1"/>
    <col min="27" max="27" width="9.453125" customWidth="1"/>
    <col min="28" max="28" width="9.6328125" customWidth="1"/>
    <col min="29" max="29" width="6.36328125" customWidth="1"/>
    <col min="30" max="30" width="9.81640625" customWidth="1"/>
    <col min="31" max="31" width="9.453125" customWidth="1"/>
    <col min="32" max="32" width="11.1796875" customWidth="1"/>
    <col min="33" max="33" width="8.6328125" customWidth="1"/>
    <col min="34" max="34" width="5.453125" customWidth="1"/>
    <col min="35" max="35" width="6.6328125" customWidth="1"/>
    <col min="36" max="36" width="6.453125" customWidth="1"/>
    <col min="37" max="37" width="5.81640625" customWidth="1"/>
    <col min="38" max="38" width="6.1796875" customWidth="1"/>
    <col min="39" max="39" width="2.90625" customWidth="1"/>
    <col min="40" max="40" width="11.6328125" customWidth="1"/>
    <col min="41" max="41" width="11" customWidth="1"/>
    <col min="42" max="42" width="10.36328125" customWidth="1"/>
    <col min="43" max="44" width="11.36328125" customWidth="1"/>
  </cols>
  <sheetData>
    <row r="7" spans="1:38" ht="30" customHeight="1" thickBot="1" x14ac:dyDescent="0.4"/>
    <row r="8" spans="1:38" ht="36" customHeight="1" thickBot="1" x14ac:dyDescent="0.4">
      <c r="A8" s="193" t="s">
        <v>58</v>
      </c>
      <c r="B8" s="291" t="s">
        <v>59</v>
      </c>
      <c r="C8" s="193" t="s">
        <v>60</v>
      </c>
      <c r="D8" s="194" t="s">
        <v>61</v>
      </c>
      <c r="E8" s="194" t="s">
        <v>62</v>
      </c>
      <c r="F8" s="350" t="s">
        <v>71</v>
      </c>
      <c r="G8" s="351"/>
      <c r="H8" s="352" t="s">
        <v>72</v>
      </c>
      <c r="I8" s="351"/>
      <c r="J8" s="269" t="s">
        <v>131</v>
      </c>
      <c r="K8" s="194" t="s">
        <v>65</v>
      </c>
      <c r="L8" s="194" t="s">
        <v>63</v>
      </c>
      <c r="M8" s="194" t="s">
        <v>64</v>
      </c>
      <c r="N8" s="195" t="s">
        <v>92</v>
      </c>
      <c r="O8" s="195" t="s">
        <v>93</v>
      </c>
      <c r="P8" s="195" t="s">
        <v>94</v>
      </c>
      <c r="Q8" s="195" t="s">
        <v>95</v>
      </c>
      <c r="R8" s="192" t="s">
        <v>132</v>
      </c>
      <c r="S8" s="194" t="s">
        <v>66</v>
      </c>
      <c r="T8" s="194" t="s">
        <v>67</v>
      </c>
      <c r="U8" s="194" t="s">
        <v>68</v>
      </c>
      <c r="V8" s="194" t="s">
        <v>122</v>
      </c>
      <c r="W8" s="350" t="s">
        <v>73</v>
      </c>
      <c r="X8" s="351"/>
      <c r="Y8" s="353" t="s">
        <v>74</v>
      </c>
      <c r="Z8" s="354"/>
      <c r="AA8" s="355" t="s">
        <v>133</v>
      </c>
      <c r="AB8" s="356"/>
      <c r="AC8" s="195" t="s">
        <v>70</v>
      </c>
      <c r="AD8" s="195" t="s">
        <v>69</v>
      </c>
      <c r="AE8" s="195" t="s">
        <v>75</v>
      </c>
      <c r="AF8" s="192" t="s">
        <v>134</v>
      </c>
      <c r="AG8" s="195" t="s">
        <v>96</v>
      </c>
      <c r="AH8" s="196" t="s">
        <v>109</v>
      </c>
      <c r="AI8" s="196" t="s">
        <v>118</v>
      </c>
      <c r="AJ8" s="196" t="s">
        <v>119</v>
      </c>
      <c r="AK8" s="196" t="s">
        <v>110</v>
      </c>
      <c r="AL8" s="197" t="s">
        <v>111</v>
      </c>
    </row>
    <row r="9" spans="1:38" ht="20.399999999999999" customHeight="1" x14ac:dyDescent="0.35">
      <c r="A9" s="362" t="s">
        <v>49</v>
      </c>
      <c r="B9" s="154">
        <v>1</v>
      </c>
      <c r="C9" s="141">
        <v>4.2</v>
      </c>
      <c r="D9" s="141">
        <v>3.6</v>
      </c>
      <c r="E9" s="152">
        <f t="shared" ref="E9:E15" si="0">C9/D9</f>
        <v>1.1666666666666667</v>
      </c>
      <c r="F9" s="168" t="s">
        <v>77</v>
      </c>
      <c r="G9" s="169">
        <v>30</v>
      </c>
      <c r="H9" s="141" t="s">
        <v>13</v>
      </c>
      <c r="I9" s="169">
        <v>55</v>
      </c>
      <c r="J9" s="142">
        <v>163</v>
      </c>
      <c r="K9" s="142">
        <v>-1</v>
      </c>
      <c r="L9" s="142" t="s">
        <v>85</v>
      </c>
      <c r="M9" s="142" t="s">
        <v>84</v>
      </c>
      <c r="N9" s="142" t="s">
        <v>84</v>
      </c>
      <c r="O9" s="142" t="s">
        <v>84</v>
      </c>
      <c r="P9" s="142" t="s">
        <v>84</v>
      </c>
      <c r="Q9" s="272" t="s">
        <v>84</v>
      </c>
      <c r="R9" s="142">
        <v>6.3</v>
      </c>
      <c r="S9" s="142" t="s">
        <v>76</v>
      </c>
      <c r="T9" s="142">
        <v>1.9</v>
      </c>
      <c r="U9" s="142">
        <v>2.2999999999999998</v>
      </c>
      <c r="V9" s="143">
        <f t="shared" ref="V9:V15" si="1">T9/U9</f>
        <v>0.82608695652173914</v>
      </c>
      <c r="W9" s="168" t="s">
        <v>77</v>
      </c>
      <c r="X9" s="154">
        <v>26</v>
      </c>
      <c r="Y9" s="141" t="s">
        <v>13</v>
      </c>
      <c r="Z9" s="154">
        <v>56</v>
      </c>
      <c r="AA9" s="168" t="s">
        <v>13</v>
      </c>
      <c r="AB9" s="154">
        <v>177</v>
      </c>
      <c r="AC9" s="142">
        <v>1</v>
      </c>
      <c r="AD9" s="142" t="s">
        <v>84</v>
      </c>
      <c r="AE9" s="142">
        <v>1.1000000000000001</v>
      </c>
      <c r="AF9" s="142">
        <v>2.2000000000000002</v>
      </c>
      <c r="AG9" s="271" t="s">
        <v>84</v>
      </c>
      <c r="AH9" s="142">
        <v>3.3</v>
      </c>
      <c r="AI9" s="142">
        <v>4</v>
      </c>
      <c r="AJ9" s="142">
        <f>AVERAGE(AH9:AI9)</f>
        <v>3.65</v>
      </c>
      <c r="AK9" s="142">
        <v>7.6</v>
      </c>
      <c r="AL9" s="144">
        <f>(AJ9/AK9)*100</f>
        <v>48.026315789473685</v>
      </c>
    </row>
    <row r="10" spans="1:38" x14ac:dyDescent="0.35">
      <c r="A10" s="363"/>
      <c r="B10" s="154">
        <v>2</v>
      </c>
      <c r="C10" s="141">
        <v>4.2</v>
      </c>
      <c r="D10" s="141">
        <v>2.9</v>
      </c>
      <c r="E10" s="152">
        <f t="shared" si="0"/>
        <v>1.4482758620689655</v>
      </c>
      <c r="F10" s="168" t="s">
        <v>78</v>
      </c>
      <c r="G10" s="169">
        <v>23</v>
      </c>
      <c r="H10" s="141" t="s">
        <v>14</v>
      </c>
      <c r="I10" s="169">
        <v>50</v>
      </c>
      <c r="J10" s="142">
        <v>143</v>
      </c>
      <c r="K10" s="142">
        <f>-1</f>
        <v>-1</v>
      </c>
      <c r="L10" s="142" t="s">
        <v>76</v>
      </c>
      <c r="M10" s="142">
        <v>3</v>
      </c>
      <c r="N10" s="142">
        <v>2.8</v>
      </c>
      <c r="O10" s="142">
        <v>3.2</v>
      </c>
      <c r="P10" s="142">
        <v>2.2999999999999998</v>
      </c>
      <c r="Q10" s="142">
        <v>12</v>
      </c>
      <c r="R10" s="142">
        <v>9.3000000000000007</v>
      </c>
      <c r="S10" s="142" t="s">
        <v>76</v>
      </c>
      <c r="T10" s="142">
        <v>1.7</v>
      </c>
      <c r="U10" s="275">
        <v>2</v>
      </c>
      <c r="V10" s="143">
        <f t="shared" si="1"/>
        <v>0.85</v>
      </c>
      <c r="W10" s="168" t="s">
        <v>78</v>
      </c>
      <c r="X10" s="154">
        <v>30</v>
      </c>
      <c r="Y10" s="141" t="s">
        <v>14</v>
      </c>
      <c r="Z10" s="154">
        <v>51</v>
      </c>
      <c r="AA10" s="168" t="s">
        <v>14</v>
      </c>
      <c r="AB10" s="154">
        <v>162</v>
      </c>
      <c r="AC10" s="142">
        <v>1</v>
      </c>
      <c r="AD10" s="142" t="s">
        <v>84</v>
      </c>
      <c r="AE10" s="142">
        <v>6.1</v>
      </c>
      <c r="AF10" s="142">
        <v>2.1</v>
      </c>
      <c r="AG10" s="272" t="s">
        <v>84</v>
      </c>
      <c r="AH10" s="142">
        <v>3.7</v>
      </c>
      <c r="AI10" s="142">
        <v>4.5999999999999996</v>
      </c>
      <c r="AJ10" s="142">
        <f t="shared" ref="AJ10:AJ13" si="2">AVERAGE(AH10:AI10)</f>
        <v>4.1500000000000004</v>
      </c>
      <c r="AK10" s="142">
        <v>10.9</v>
      </c>
      <c r="AL10" s="144">
        <f t="shared" ref="AL10:AL13" si="3">(AJ10/AK10)*100</f>
        <v>38.073394495412842</v>
      </c>
    </row>
    <row r="11" spans="1:38" x14ac:dyDescent="0.35">
      <c r="A11" s="363"/>
      <c r="B11" s="154">
        <v>3</v>
      </c>
      <c r="C11" s="141">
        <v>4.3</v>
      </c>
      <c r="D11" s="141">
        <v>3.5</v>
      </c>
      <c r="E11" s="152">
        <f t="shared" si="0"/>
        <v>1.2285714285714284</v>
      </c>
      <c r="F11" s="168" t="s">
        <v>79</v>
      </c>
      <c r="G11" s="169">
        <v>23</v>
      </c>
      <c r="H11" s="141" t="s">
        <v>15</v>
      </c>
      <c r="I11" s="169">
        <v>56</v>
      </c>
      <c r="J11" s="141">
        <v>157</v>
      </c>
      <c r="K11" s="142">
        <v>-1</v>
      </c>
      <c r="L11" s="142" t="s">
        <v>76</v>
      </c>
      <c r="M11" s="142">
        <v>3</v>
      </c>
      <c r="N11" s="141">
        <v>2.2999999999999998</v>
      </c>
      <c r="O11" s="141">
        <v>3.5</v>
      </c>
      <c r="P11" s="141">
        <v>2</v>
      </c>
      <c r="Q11" s="141">
        <v>21</v>
      </c>
      <c r="R11" s="142">
        <v>9</v>
      </c>
      <c r="S11" s="142" t="s">
        <v>76</v>
      </c>
      <c r="T11" s="142">
        <v>2.2999999999999998</v>
      </c>
      <c r="U11" s="275">
        <v>2.2000000000000002</v>
      </c>
      <c r="V11" s="143">
        <f t="shared" si="1"/>
        <v>1.0454545454545452</v>
      </c>
      <c r="W11" s="168" t="s">
        <v>79</v>
      </c>
      <c r="X11" s="154">
        <v>22</v>
      </c>
      <c r="Y11" s="141" t="s">
        <v>15</v>
      </c>
      <c r="Z11" s="169">
        <v>55</v>
      </c>
      <c r="AA11" s="168" t="s">
        <v>15</v>
      </c>
      <c r="AB11" s="154">
        <v>189</v>
      </c>
      <c r="AC11" s="142">
        <v>1</v>
      </c>
      <c r="AD11" s="142">
        <v>3</v>
      </c>
      <c r="AE11" s="142">
        <v>4</v>
      </c>
      <c r="AF11" s="142">
        <v>3.5</v>
      </c>
      <c r="AG11" s="141">
        <v>24.3</v>
      </c>
      <c r="AH11" s="142">
        <v>3.9</v>
      </c>
      <c r="AI11" s="142">
        <v>4.0999999999999996</v>
      </c>
      <c r="AJ11" s="142">
        <f t="shared" si="2"/>
        <v>4</v>
      </c>
      <c r="AK11" s="142">
        <v>8.8000000000000007</v>
      </c>
      <c r="AL11" s="144">
        <f t="shared" si="3"/>
        <v>45.454545454545453</v>
      </c>
    </row>
    <row r="12" spans="1:38" x14ac:dyDescent="0.35">
      <c r="A12" s="363"/>
      <c r="B12" s="154">
        <v>4</v>
      </c>
      <c r="C12" s="141">
        <v>4.2</v>
      </c>
      <c r="D12" s="141">
        <v>3.4</v>
      </c>
      <c r="E12" s="152">
        <f t="shared" si="0"/>
        <v>1.2352941176470589</v>
      </c>
      <c r="F12" s="168" t="s">
        <v>80</v>
      </c>
      <c r="G12" s="169">
        <v>34</v>
      </c>
      <c r="H12" s="141" t="s">
        <v>19</v>
      </c>
      <c r="I12" s="169">
        <v>64</v>
      </c>
      <c r="J12" s="142">
        <v>152</v>
      </c>
      <c r="K12" s="142">
        <v>-1</v>
      </c>
      <c r="L12" s="142" t="s">
        <v>76</v>
      </c>
      <c r="M12" s="142">
        <v>3</v>
      </c>
      <c r="N12" s="142">
        <v>2.2000000000000002</v>
      </c>
      <c r="O12" s="142">
        <v>2.8</v>
      </c>
      <c r="P12" s="142">
        <v>2</v>
      </c>
      <c r="Q12" s="142">
        <v>28</v>
      </c>
      <c r="R12" s="142">
        <v>10.3</v>
      </c>
      <c r="S12" s="142" t="s">
        <v>76</v>
      </c>
      <c r="T12" s="142">
        <v>1.2</v>
      </c>
      <c r="U12" s="142">
        <v>1.8</v>
      </c>
      <c r="V12" s="143">
        <f t="shared" si="1"/>
        <v>0.66666666666666663</v>
      </c>
      <c r="W12" s="168" t="s">
        <v>80</v>
      </c>
      <c r="X12" s="154">
        <v>33</v>
      </c>
      <c r="Y12" s="141" t="s">
        <v>19</v>
      </c>
      <c r="Z12" s="154">
        <v>67</v>
      </c>
      <c r="AA12" s="168" t="s">
        <v>19</v>
      </c>
      <c r="AB12" s="154">
        <v>191</v>
      </c>
      <c r="AC12" s="142">
        <v>1</v>
      </c>
      <c r="AD12" s="142" t="s">
        <v>84</v>
      </c>
      <c r="AE12" s="142">
        <v>8.4</v>
      </c>
      <c r="AF12" s="141" t="s">
        <v>83</v>
      </c>
      <c r="AG12" s="141" t="s">
        <v>84</v>
      </c>
      <c r="AH12" s="142">
        <v>3.8</v>
      </c>
      <c r="AI12" s="142">
        <v>4.2</v>
      </c>
      <c r="AJ12" s="142">
        <f t="shared" si="2"/>
        <v>4</v>
      </c>
      <c r="AK12" s="142">
        <v>11.2</v>
      </c>
      <c r="AL12" s="144">
        <f t="shared" si="3"/>
        <v>35.714285714285715</v>
      </c>
    </row>
    <row r="13" spans="1:38" x14ac:dyDescent="0.35">
      <c r="A13" s="363"/>
      <c r="B13" s="154">
        <v>5</v>
      </c>
      <c r="C13" s="141">
        <v>4.2</v>
      </c>
      <c r="D13" s="141">
        <v>3.4</v>
      </c>
      <c r="E13" s="152">
        <f t="shared" si="0"/>
        <v>1.2352941176470589</v>
      </c>
      <c r="F13" s="168" t="s">
        <v>81</v>
      </c>
      <c r="G13" s="169">
        <v>32</v>
      </c>
      <c r="H13" s="141" t="s">
        <v>20</v>
      </c>
      <c r="I13" s="169">
        <v>64</v>
      </c>
      <c r="J13" s="142">
        <v>155</v>
      </c>
      <c r="K13" s="142">
        <v>-1</v>
      </c>
      <c r="L13" s="142" t="s">
        <v>76</v>
      </c>
      <c r="M13" s="142">
        <v>3</v>
      </c>
      <c r="N13" s="142">
        <v>2.4</v>
      </c>
      <c r="O13" s="142">
        <v>3.6</v>
      </c>
      <c r="P13" s="142">
        <v>2.2999999999999998</v>
      </c>
      <c r="Q13" s="142">
        <v>16</v>
      </c>
      <c r="R13" s="142">
        <v>10</v>
      </c>
      <c r="S13" s="142" t="s">
        <v>76</v>
      </c>
      <c r="T13" s="142">
        <v>1.7</v>
      </c>
      <c r="U13" s="142">
        <v>1.5</v>
      </c>
      <c r="V13" s="143">
        <f t="shared" si="1"/>
        <v>1.1333333333333333</v>
      </c>
      <c r="W13" s="168" t="s">
        <v>81</v>
      </c>
      <c r="X13" s="154">
        <v>34</v>
      </c>
      <c r="Y13" s="141" t="s">
        <v>20</v>
      </c>
      <c r="Z13" s="154">
        <v>64</v>
      </c>
      <c r="AA13" s="168" t="s">
        <v>20</v>
      </c>
      <c r="AB13" s="154">
        <v>187</v>
      </c>
      <c r="AC13" s="142">
        <v>1</v>
      </c>
      <c r="AD13" s="142">
        <v>3</v>
      </c>
      <c r="AE13" s="142">
        <v>3.8</v>
      </c>
      <c r="AF13" s="141" t="s">
        <v>83</v>
      </c>
      <c r="AG13" s="142">
        <v>19</v>
      </c>
      <c r="AH13" s="142">
        <v>4.0999999999999996</v>
      </c>
      <c r="AI13" s="142">
        <v>3.7</v>
      </c>
      <c r="AJ13" s="142">
        <f t="shared" si="2"/>
        <v>3.9</v>
      </c>
      <c r="AK13" s="142">
        <v>10.1</v>
      </c>
      <c r="AL13" s="144">
        <f t="shared" si="3"/>
        <v>38.613861386138616</v>
      </c>
    </row>
    <row r="14" spans="1:38" x14ac:dyDescent="0.35">
      <c r="A14" s="363"/>
      <c r="B14" s="154">
        <v>6</v>
      </c>
      <c r="C14" s="141">
        <v>4.2</v>
      </c>
      <c r="D14" s="141">
        <v>3.2</v>
      </c>
      <c r="E14" s="152">
        <f t="shared" si="0"/>
        <v>1.3125</v>
      </c>
      <c r="F14" s="168" t="s">
        <v>82</v>
      </c>
      <c r="G14" s="169">
        <v>38</v>
      </c>
      <c r="H14" s="141" t="s">
        <v>83</v>
      </c>
      <c r="I14" s="169" t="s">
        <v>83</v>
      </c>
      <c r="J14" s="141" t="s">
        <v>83</v>
      </c>
      <c r="K14" s="142">
        <v>-1</v>
      </c>
      <c r="L14" s="142" t="s">
        <v>76</v>
      </c>
      <c r="M14" s="142">
        <v>3</v>
      </c>
      <c r="N14" s="142">
        <v>3</v>
      </c>
      <c r="O14" s="142">
        <v>3.5</v>
      </c>
      <c r="P14" s="142">
        <v>2.5</v>
      </c>
      <c r="Q14" s="142">
        <v>18</v>
      </c>
      <c r="R14" s="142">
        <v>9.3000000000000007</v>
      </c>
      <c r="S14" s="142" t="s">
        <v>76</v>
      </c>
      <c r="T14" s="142">
        <v>1.9</v>
      </c>
      <c r="U14" s="142">
        <v>2</v>
      </c>
      <c r="V14" s="143">
        <f t="shared" si="1"/>
        <v>0.95</v>
      </c>
      <c r="W14" s="168" t="s">
        <v>82</v>
      </c>
      <c r="X14" s="154">
        <v>31</v>
      </c>
      <c r="Y14" s="141" t="s">
        <v>83</v>
      </c>
      <c r="Z14" s="169" t="s">
        <v>83</v>
      </c>
      <c r="AA14" s="168" t="s">
        <v>83</v>
      </c>
      <c r="AB14" s="169" t="s">
        <v>83</v>
      </c>
      <c r="AC14" s="142">
        <v>1</v>
      </c>
      <c r="AD14" s="142" t="s">
        <v>84</v>
      </c>
      <c r="AE14" s="142">
        <v>7.4</v>
      </c>
      <c r="AF14" s="141" t="s">
        <v>83</v>
      </c>
      <c r="AG14" s="141">
        <v>28.8</v>
      </c>
      <c r="AH14" s="142" t="s">
        <v>83</v>
      </c>
      <c r="AI14" s="142" t="s">
        <v>83</v>
      </c>
      <c r="AJ14" s="142" t="s">
        <v>83</v>
      </c>
      <c r="AK14" s="142" t="s">
        <v>83</v>
      </c>
      <c r="AL14" s="145" t="s">
        <v>83</v>
      </c>
    </row>
    <row r="15" spans="1:38" ht="15" thickBot="1" x14ac:dyDescent="0.4">
      <c r="A15" s="363"/>
      <c r="B15" s="154">
        <v>7</v>
      </c>
      <c r="C15" s="142">
        <v>5</v>
      </c>
      <c r="D15" s="142">
        <v>4.0999999999999996</v>
      </c>
      <c r="E15" s="143">
        <f t="shared" si="0"/>
        <v>1.2195121951219514</v>
      </c>
      <c r="F15" s="168" t="s">
        <v>83</v>
      </c>
      <c r="G15" s="169" t="s">
        <v>83</v>
      </c>
      <c r="H15" s="141" t="s">
        <v>83</v>
      </c>
      <c r="I15" s="169" t="s">
        <v>83</v>
      </c>
      <c r="J15" s="141" t="s">
        <v>83</v>
      </c>
      <c r="K15" s="142">
        <v>-1</v>
      </c>
      <c r="L15" s="142" t="s">
        <v>76</v>
      </c>
      <c r="M15" s="142">
        <v>3</v>
      </c>
      <c r="N15" s="142">
        <v>2.8</v>
      </c>
      <c r="O15" s="142">
        <v>4</v>
      </c>
      <c r="P15" s="142">
        <v>2.6</v>
      </c>
      <c r="Q15" s="142">
        <v>26</v>
      </c>
      <c r="R15" s="141" t="s">
        <v>83</v>
      </c>
      <c r="S15" s="142" t="s">
        <v>76</v>
      </c>
      <c r="T15" s="142">
        <v>1.5</v>
      </c>
      <c r="U15" s="275">
        <v>1.8</v>
      </c>
      <c r="V15" s="143">
        <f t="shared" si="1"/>
        <v>0.83333333333333326</v>
      </c>
      <c r="W15" s="168"/>
      <c r="X15" s="169" t="s">
        <v>83</v>
      </c>
      <c r="Y15" s="141" t="s">
        <v>83</v>
      </c>
      <c r="Z15" s="169" t="s">
        <v>83</v>
      </c>
      <c r="AA15" s="168" t="s">
        <v>83</v>
      </c>
      <c r="AB15" s="169" t="s">
        <v>83</v>
      </c>
      <c r="AC15" s="142">
        <v>1</v>
      </c>
      <c r="AD15" s="142" t="s">
        <v>84</v>
      </c>
      <c r="AE15" s="142">
        <v>2.9</v>
      </c>
      <c r="AF15" s="141" t="s">
        <v>83</v>
      </c>
      <c r="AG15" s="141" t="s">
        <v>84</v>
      </c>
      <c r="AH15" s="142" t="s">
        <v>83</v>
      </c>
      <c r="AI15" s="142" t="s">
        <v>83</v>
      </c>
      <c r="AJ15" s="142" t="s">
        <v>83</v>
      </c>
      <c r="AK15" s="142" t="s">
        <v>83</v>
      </c>
      <c r="AL15" s="145" t="s">
        <v>83</v>
      </c>
    </row>
    <row r="16" spans="1:38" ht="15" thickBot="1" x14ac:dyDescent="0.4">
      <c r="A16" s="363"/>
      <c r="B16" s="173" t="s">
        <v>5</v>
      </c>
      <c r="C16" s="174">
        <f>AVERAGE(C9:C15)</f>
        <v>4.3285714285714283</v>
      </c>
      <c r="D16" s="174">
        <f t="shared" ref="D16:AL16" si="4">AVERAGE(D9:D15)</f>
        <v>3.4428571428571431</v>
      </c>
      <c r="E16" s="174">
        <f t="shared" si="4"/>
        <v>1.2637306268175901</v>
      </c>
      <c r="F16" s="174"/>
      <c r="G16" s="174">
        <f t="shared" si="4"/>
        <v>30</v>
      </c>
      <c r="H16" s="174"/>
      <c r="I16" s="174">
        <f t="shared" si="4"/>
        <v>57.8</v>
      </c>
      <c r="J16" s="174">
        <f t="shared" si="4"/>
        <v>154</v>
      </c>
      <c r="K16" s="174"/>
      <c r="L16" s="174"/>
      <c r="M16" s="174">
        <f t="shared" si="4"/>
        <v>3</v>
      </c>
      <c r="N16" s="174">
        <f t="shared" si="4"/>
        <v>2.5833333333333335</v>
      </c>
      <c r="O16" s="174">
        <f t="shared" si="4"/>
        <v>3.4333333333333336</v>
      </c>
      <c r="P16" s="174">
        <f t="shared" si="4"/>
        <v>2.2833333333333332</v>
      </c>
      <c r="Q16" s="174">
        <f t="shared" si="4"/>
        <v>20.166666666666668</v>
      </c>
      <c r="R16" s="174">
        <f>AVERAGE(R9:R15)</f>
        <v>9.0333333333333332</v>
      </c>
      <c r="S16" s="174"/>
      <c r="T16" s="174">
        <f>AVERAGE(T9:T15)</f>
        <v>1.7428571428571427</v>
      </c>
      <c r="U16" s="174">
        <f t="shared" si="4"/>
        <v>1.9428571428571431</v>
      </c>
      <c r="V16" s="174">
        <f t="shared" si="4"/>
        <v>0.90069640504423099</v>
      </c>
      <c r="W16" s="174"/>
      <c r="X16" s="174">
        <f t="shared" si="4"/>
        <v>29.333333333333332</v>
      </c>
      <c r="Y16" s="174"/>
      <c r="Z16" s="174">
        <f t="shared" si="4"/>
        <v>58.6</v>
      </c>
      <c r="AA16" s="174"/>
      <c r="AB16" s="174">
        <f t="shared" si="4"/>
        <v>181.2</v>
      </c>
      <c r="AC16" s="174"/>
      <c r="AD16" s="174">
        <f t="shared" si="4"/>
        <v>3</v>
      </c>
      <c r="AE16" s="174">
        <f t="shared" si="4"/>
        <v>4.8142857142857149</v>
      </c>
      <c r="AF16" s="174">
        <f t="shared" si="4"/>
        <v>2.6</v>
      </c>
      <c r="AG16" s="174">
        <f t="shared" si="4"/>
        <v>24.033333333333331</v>
      </c>
      <c r="AH16" s="174">
        <f t="shared" si="4"/>
        <v>3.7599999999999993</v>
      </c>
      <c r="AI16" s="174">
        <f t="shared" si="4"/>
        <v>4.1199999999999992</v>
      </c>
      <c r="AJ16" s="174">
        <f t="shared" si="4"/>
        <v>3.94</v>
      </c>
      <c r="AK16" s="174">
        <f t="shared" si="4"/>
        <v>9.7200000000000006</v>
      </c>
      <c r="AL16" s="175">
        <f t="shared" si="4"/>
        <v>41.176480567971268</v>
      </c>
    </row>
    <row r="17" spans="1:44" x14ac:dyDescent="0.35">
      <c r="A17" s="364" t="s">
        <v>50</v>
      </c>
      <c r="B17" s="287">
        <v>1</v>
      </c>
      <c r="C17" s="56">
        <v>2.4</v>
      </c>
      <c r="D17" s="56">
        <v>2.4</v>
      </c>
      <c r="E17" s="70">
        <f>C17/D17</f>
        <v>1</v>
      </c>
      <c r="F17" s="157" t="s">
        <v>77</v>
      </c>
      <c r="G17" s="170">
        <v>17</v>
      </c>
      <c r="H17" s="68" t="s">
        <v>13</v>
      </c>
      <c r="I17" s="170">
        <v>24</v>
      </c>
      <c r="J17" s="44">
        <v>116</v>
      </c>
      <c r="K17" s="44">
        <v>-1</v>
      </c>
      <c r="L17" s="43" t="s">
        <v>84</v>
      </c>
      <c r="M17" s="43" t="s">
        <v>84</v>
      </c>
      <c r="N17" s="44" t="s">
        <v>83</v>
      </c>
      <c r="O17" s="44" t="s">
        <v>83</v>
      </c>
      <c r="P17" s="44" t="s">
        <v>83</v>
      </c>
      <c r="Q17" s="279" t="s">
        <v>84</v>
      </c>
      <c r="R17" s="44">
        <v>9.3000000000000007</v>
      </c>
      <c r="S17" s="43" t="s">
        <v>149</v>
      </c>
      <c r="T17" s="281">
        <v>0.6</v>
      </c>
      <c r="U17" s="281">
        <v>0.7</v>
      </c>
      <c r="V17" s="282">
        <f>T17/U17</f>
        <v>0.85714285714285721</v>
      </c>
      <c r="W17" s="155" t="s">
        <v>77</v>
      </c>
      <c r="X17" s="44" t="s">
        <v>83</v>
      </c>
      <c r="Y17" s="155" t="s">
        <v>13</v>
      </c>
      <c r="Z17" s="156">
        <v>20.3</v>
      </c>
      <c r="AA17" s="44" t="s">
        <v>83</v>
      </c>
      <c r="AB17" s="44" t="s">
        <v>83</v>
      </c>
      <c r="AC17" s="280" t="s">
        <v>84</v>
      </c>
      <c r="AD17" s="280" t="s">
        <v>84</v>
      </c>
      <c r="AE17" s="44">
        <v>19</v>
      </c>
      <c r="AF17" s="44" t="s">
        <v>83</v>
      </c>
      <c r="AG17" s="44" t="s">
        <v>83</v>
      </c>
      <c r="AH17" s="44" t="s">
        <v>83</v>
      </c>
      <c r="AI17" s="44" t="s">
        <v>83</v>
      </c>
      <c r="AJ17" s="44" t="s">
        <v>83</v>
      </c>
      <c r="AK17" s="44" t="s">
        <v>83</v>
      </c>
      <c r="AL17" s="45" t="s">
        <v>83</v>
      </c>
    </row>
    <row r="18" spans="1:44" x14ac:dyDescent="0.35">
      <c r="A18" s="365"/>
      <c r="B18" s="287">
        <v>2</v>
      </c>
      <c r="C18" s="56">
        <v>3</v>
      </c>
      <c r="D18" s="56">
        <v>2.2000000000000002</v>
      </c>
      <c r="E18" s="70">
        <f t="shared" ref="E18:E20" si="5">C18/D18</f>
        <v>1.3636363636363635</v>
      </c>
      <c r="F18" s="157" t="s">
        <v>78</v>
      </c>
      <c r="G18" s="170">
        <v>13</v>
      </c>
      <c r="H18" s="68" t="s">
        <v>14</v>
      </c>
      <c r="I18" s="170">
        <v>24</v>
      </c>
      <c r="J18" s="44">
        <v>106</v>
      </c>
      <c r="K18" s="44">
        <v>-1</v>
      </c>
      <c r="L18" s="43" t="s">
        <v>84</v>
      </c>
      <c r="M18" s="43" t="s">
        <v>84</v>
      </c>
      <c r="N18" s="44" t="s">
        <v>83</v>
      </c>
      <c r="O18" s="44" t="s">
        <v>83</v>
      </c>
      <c r="P18" s="44" t="s">
        <v>83</v>
      </c>
      <c r="Q18" s="279" t="s">
        <v>84</v>
      </c>
      <c r="R18" s="44">
        <v>10.5</v>
      </c>
      <c r="S18" s="43" t="s">
        <v>85</v>
      </c>
      <c r="T18" s="44" t="s">
        <v>83</v>
      </c>
      <c r="U18" s="44" t="s">
        <v>83</v>
      </c>
      <c r="V18" s="44" t="s">
        <v>83</v>
      </c>
      <c r="W18" s="155" t="s">
        <v>78</v>
      </c>
      <c r="X18" s="44" t="s">
        <v>83</v>
      </c>
      <c r="Y18" s="155" t="s">
        <v>14</v>
      </c>
      <c r="Z18" s="156" t="s">
        <v>83</v>
      </c>
      <c r="AA18" s="44" t="s">
        <v>83</v>
      </c>
      <c r="AB18" s="44" t="s">
        <v>83</v>
      </c>
      <c r="AC18" s="44" t="s">
        <v>83</v>
      </c>
      <c r="AD18" s="44" t="s">
        <v>83</v>
      </c>
      <c r="AE18" s="44" t="s">
        <v>83</v>
      </c>
      <c r="AF18" s="44" t="s">
        <v>83</v>
      </c>
      <c r="AG18" s="44" t="s">
        <v>83</v>
      </c>
      <c r="AH18" s="44" t="s">
        <v>83</v>
      </c>
      <c r="AI18" s="44" t="s">
        <v>83</v>
      </c>
      <c r="AJ18" s="44" t="s">
        <v>83</v>
      </c>
      <c r="AK18" s="44" t="s">
        <v>83</v>
      </c>
      <c r="AL18" s="45" t="s">
        <v>83</v>
      </c>
    </row>
    <row r="19" spans="1:44" x14ac:dyDescent="0.35">
      <c r="A19" s="365"/>
      <c r="B19" s="288">
        <v>3</v>
      </c>
      <c r="C19" s="56">
        <v>1</v>
      </c>
      <c r="D19" s="56">
        <v>1.8</v>
      </c>
      <c r="E19" s="70">
        <f t="shared" si="5"/>
        <v>0.55555555555555558</v>
      </c>
      <c r="F19" s="157" t="s">
        <v>79</v>
      </c>
      <c r="G19" s="170">
        <v>16</v>
      </c>
      <c r="H19" s="44" t="s">
        <v>83</v>
      </c>
      <c r="I19" s="156" t="s">
        <v>83</v>
      </c>
      <c r="J19" s="44" t="s">
        <v>83</v>
      </c>
      <c r="K19" s="44">
        <v>-1</v>
      </c>
      <c r="L19" s="43" t="s">
        <v>90</v>
      </c>
      <c r="M19" s="67" t="s">
        <v>117</v>
      </c>
      <c r="N19" s="44" t="s">
        <v>83</v>
      </c>
      <c r="O19" s="44" t="s">
        <v>83</v>
      </c>
      <c r="P19" s="44" t="s">
        <v>83</v>
      </c>
      <c r="Q19" s="279" t="s">
        <v>84</v>
      </c>
      <c r="R19" s="44">
        <v>11.6</v>
      </c>
      <c r="S19" s="43" t="s">
        <v>149</v>
      </c>
      <c r="T19" s="44">
        <v>0.9</v>
      </c>
      <c r="U19" s="44">
        <v>0.8</v>
      </c>
      <c r="V19" s="282">
        <f>T19/U19</f>
        <v>1.125</v>
      </c>
      <c r="W19" s="155" t="s">
        <v>79</v>
      </c>
      <c r="X19" s="44" t="s">
        <v>83</v>
      </c>
      <c r="Y19" s="155" t="s">
        <v>83</v>
      </c>
      <c r="Z19" s="156" t="s">
        <v>83</v>
      </c>
      <c r="AA19" s="44" t="s">
        <v>83</v>
      </c>
      <c r="AB19" s="44" t="s">
        <v>83</v>
      </c>
      <c r="AC19" s="280" t="s">
        <v>84</v>
      </c>
      <c r="AD19" s="280" t="s">
        <v>84</v>
      </c>
      <c r="AE19" s="44">
        <v>13.8</v>
      </c>
      <c r="AF19" s="44" t="s">
        <v>83</v>
      </c>
      <c r="AG19" s="44" t="s">
        <v>83</v>
      </c>
      <c r="AH19" s="44" t="s">
        <v>83</v>
      </c>
      <c r="AI19" s="44" t="s">
        <v>83</v>
      </c>
      <c r="AJ19" s="44" t="s">
        <v>83</v>
      </c>
      <c r="AK19" s="44" t="s">
        <v>83</v>
      </c>
      <c r="AL19" s="45" t="s">
        <v>83</v>
      </c>
    </row>
    <row r="20" spans="1:44" ht="15" thickBot="1" x14ac:dyDescent="0.4">
      <c r="A20" s="365"/>
      <c r="B20" s="288">
        <v>4</v>
      </c>
      <c r="C20" s="56">
        <v>2.5</v>
      </c>
      <c r="D20" s="56">
        <v>1.7</v>
      </c>
      <c r="E20" s="70">
        <f t="shared" si="5"/>
        <v>1.4705882352941178</v>
      </c>
      <c r="F20" s="155" t="s">
        <v>83</v>
      </c>
      <c r="G20" s="156" t="s">
        <v>83</v>
      </c>
      <c r="H20" s="44" t="s">
        <v>83</v>
      </c>
      <c r="I20" s="156" t="s">
        <v>83</v>
      </c>
      <c r="J20" s="44" t="s">
        <v>83</v>
      </c>
      <c r="K20" s="44" t="s">
        <v>84</v>
      </c>
      <c r="L20" s="43" t="s">
        <v>84</v>
      </c>
      <c r="M20" s="43" t="s">
        <v>84</v>
      </c>
      <c r="N20" s="44" t="s">
        <v>83</v>
      </c>
      <c r="O20" s="44" t="s">
        <v>83</v>
      </c>
      <c r="P20" s="44" t="s">
        <v>83</v>
      </c>
      <c r="Q20" s="279" t="s">
        <v>84</v>
      </c>
      <c r="R20" s="44" t="s">
        <v>83</v>
      </c>
      <c r="S20" s="43" t="s">
        <v>149</v>
      </c>
      <c r="T20" s="281" t="s">
        <v>84</v>
      </c>
      <c r="U20" s="281" t="s">
        <v>84</v>
      </c>
      <c r="V20" s="44" t="s">
        <v>83</v>
      </c>
      <c r="W20" s="155" t="s">
        <v>83</v>
      </c>
      <c r="X20" s="44" t="s">
        <v>83</v>
      </c>
      <c r="Y20" s="155" t="s">
        <v>83</v>
      </c>
      <c r="Z20" s="156" t="s">
        <v>83</v>
      </c>
      <c r="AA20" s="44" t="s">
        <v>83</v>
      </c>
      <c r="AB20" s="44" t="s">
        <v>83</v>
      </c>
      <c r="AC20" s="280" t="s">
        <v>84</v>
      </c>
      <c r="AD20" s="280" t="s">
        <v>84</v>
      </c>
      <c r="AE20" s="44" t="s">
        <v>84</v>
      </c>
      <c r="AF20" s="44" t="s">
        <v>83</v>
      </c>
      <c r="AG20" s="44" t="s">
        <v>83</v>
      </c>
      <c r="AH20" s="44" t="s">
        <v>83</v>
      </c>
      <c r="AI20" s="44" t="s">
        <v>83</v>
      </c>
      <c r="AJ20" s="44" t="s">
        <v>83</v>
      </c>
      <c r="AK20" s="44" t="s">
        <v>83</v>
      </c>
      <c r="AL20" s="45" t="s">
        <v>83</v>
      </c>
    </row>
    <row r="21" spans="1:44" ht="15" thickBot="1" x14ac:dyDescent="0.4">
      <c r="A21" s="204"/>
      <c r="B21" s="176" t="s">
        <v>5</v>
      </c>
      <c r="C21" s="177">
        <f>AVERAGE(C17:C20)</f>
        <v>2.2250000000000001</v>
      </c>
      <c r="D21" s="177">
        <f t="shared" ref="D21:I21" si="6">AVERAGE(D17:D20)</f>
        <v>2.0249999999999999</v>
      </c>
      <c r="E21" s="177">
        <f t="shared" si="6"/>
        <v>1.0974450386215091</v>
      </c>
      <c r="F21" s="177"/>
      <c r="G21" s="177">
        <f t="shared" si="6"/>
        <v>15.333333333333334</v>
      </c>
      <c r="H21" s="177"/>
      <c r="I21" s="177">
        <f t="shared" si="6"/>
        <v>24</v>
      </c>
      <c r="J21" s="177">
        <f>AVERAGE(J17:J18)</f>
        <v>111</v>
      </c>
      <c r="K21" s="177"/>
      <c r="L21" s="177"/>
      <c r="M21" s="177"/>
      <c r="N21" s="177"/>
      <c r="O21" s="177"/>
      <c r="P21" s="177"/>
      <c r="Q21" s="177"/>
      <c r="R21" s="177">
        <f>AVERAGE(R17:R19)</f>
        <v>10.466666666666667</v>
      </c>
      <c r="S21" s="177"/>
      <c r="T21" s="177">
        <f>AVERAGE(T17:T18)</f>
        <v>0.6</v>
      </c>
      <c r="U21" s="177">
        <f t="shared" ref="U21:V21" si="7">AVERAGE(U17:U18)</f>
        <v>0.7</v>
      </c>
      <c r="V21" s="177">
        <f t="shared" si="7"/>
        <v>0.85714285714285721</v>
      </c>
      <c r="W21" s="177"/>
      <c r="X21" s="177"/>
      <c r="Y21" s="177"/>
      <c r="Z21" s="177"/>
      <c r="AA21" s="177"/>
      <c r="AB21" s="177"/>
      <c r="AC21" s="177"/>
      <c r="AD21" s="177"/>
      <c r="AE21" s="177">
        <f>AVERAGE(AE17:AE19)</f>
        <v>16.399999999999999</v>
      </c>
      <c r="AF21" s="177"/>
      <c r="AG21" s="177"/>
      <c r="AH21" s="177"/>
      <c r="AI21" s="177"/>
      <c r="AJ21" s="177"/>
      <c r="AK21" s="177"/>
      <c r="AL21" s="198"/>
    </row>
    <row r="22" spans="1:44" ht="39.5" thickBot="1" x14ac:dyDescent="0.4">
      <c r="AN22" s="92" t="s">
        <v>58</v>
      </c>
      <c r="AO22" s="87" t="s">
        <v>89</v>
      </c>
      <c r="AP22" s="87" t="s">
        <v>88</v>
      </c>
      <c r="AQ22" s="87" t="s">
        <v>87</v>
      </c>
      <c r="AR22" s="87" t="s">
        <v>86</v>
      </c>
    </row>
    <row r="23" spans="1:44" ht="15.5" x14ac:dyDescent="0.35">
      <c r="A23" s="205"/>
      <c r="B23" s="304">
        <v>1</v>
      </c>
      <c r="C23" s="305">
        <v>12.5</v>
      </c>
      <c r="D23" s="306">
        <v>8.5</v>
      </c>
      <c r="E23" s="307">
        <v>1.4705882352941178</v>
      </c>
      <c r="F23" s="308" t="s">
        <v>77</v>
      </c>
      <c r="G23" s="309">
        <v>71</v>
      </c>
      <c r="H23" s="310" t="s">
        <v>13</v>
      </c>
      <c r="I23" s="311">
        <v>140</v>
      </c>
      <c r="J23" s="310">
        <v>185</v>
      </c>
      <c r="K23" s="310">
        <v>1</v>
      </c>
      <c r="L23" s="312" t="s">
        <v>76</v>
      </c>
      <c r="M23" s="312">
        <v>3</v>
      </c>
      <c r="N23" s="310" t="s">
        <v>83</v>
      </c>
      <c r="O23" s="313">
        <v>9.4</v>
      </c>
      <c r="P23" s="310" t="s">
        <v>83</v>
      </c>
      <c r="Q23" s="310">
        <v>5</v>
      </c>
      <c r="R23" s="324">
        <v>16.059999999999999</v>
      </c>
      <c r="S23" s="312" t="s">
        <v>85</v>
      </c>
      <c r="T23" s="310" t="s">
        <v>83</v>
      </c>
      <c r="U23" s="310" t="s">
        <v>83</v>
      </c>
      <c r="V23" s="310" t="s">
        <v>83</v>
      </c>
      <c r="W23" s="310" t="s">
        <v>83</v>
      </c>
      <c r="X23" s="310" t="s">
        <v>83</v>
      </c>
      <c r="Y23" s="310" t="s">
        <v>83</v>
      </c>
      <c r="Z23" s="310" t="s">
        <v>83</v>
      </c>
      <c r="AA23" s="310" t="s">
        <v>83</v>
      </c>
      <c r="AB23" s="310" t="s">
        <v>83</v>
      </c>
      <c r="AC23" s="310" t="s">
        <v>83</v>
      </c>
      <c r="AD23" s="310" t="s">
        <v>83</v>
      </c>
      <c r="AE23" s="310" t="s">
        <v>83</v>
      </c>
      <c r="AF23" s="310" t="s">
        <v>83</v>
      </c>
      <c r="AG23" s="310" t="s">
        <v>83</v>
      </c>
      <c r="AH23" s="310" t="s">
        <v>83</v>
      </c>
      <c r="AI23" s="310" t="s">
        <v>83</v>
      </c>
      <c r="AJ23" s="310" t="s">
        <v>83</v>
      </c>
      <c r="AK23" s="310" t="s">
        <v>83</v>
      </c>
      <c r="AL23" s="314" t="s">
        <v>83</v>
      </c>
      <c r="AN23" s="93" t="s">
        <v>49</v>
      </c>
      <c r="AO23" s="90">
        <v>5</v>
      </c>
      <c r="AP23" s="57">
        <v>0</v>
      </c>
      <c r="AQ23" s="57">
        <v>331</v>
      </c>
      <c r="AR23" s="61">
        <v>26</v>
      </c>
    </row>
    <row r="24" spans="1:44" ht="15.5" x14ac:dyDescent="0.35">
      <c r="A24" s="206"/>
      <c r="B24" s="315">
        <v>2</v>
      </c>
      <c r="C24" s="101">
        <v>14.2</v>
      </c>
      <c r="D24" s="101">
        <v>9.1999999999999993</v>
      </c>
      <c r="E24" s="100">
        <v>1.5434782608695652</v>
      </c>
      <c r="F24" s="128" t="s">
        <v>78</v>
      </c>
      <c r="G24" s="129">
        <v>68</v>
      </c>
      <c r="H24" s="96" t="s">
        <v>14</v>
      </c>
      <c r="I24" s="153">
        <v>142</v>
      </c>
      <c r="J24" s="96">
        <v>190</v>
      </c>
      <c r="K24" s="96">
        <v>1</v>
      </c>
      <c r="L24" s="98" t="s">
        <v>76</v>
      </c>
      <c r="M24" s="98">
        <v>3</v>
      </c>
      <c r="N24" s="96">
        <v>8.6</v>
      </c>
      <c r="O24" s="96">
        <v>12.8</v>
      </c>
      <c r="P24" s="96">
        <v>10.9</v>
      </c>
      <c r="Q24" s="96">
        <v>6.5</v>
      </c>
      <c r="R24" s="43">
        <v>15.52</v>
      </c>
      <c r="S24" s="98" t="s">
        <v>85</v>
      </c>
      <c r="T24" s="96" t="s">
        <v>83</v>
      </c>
      <c r="U24" s="96" t="s">
        <v>83</v>
      </c>
      <c r="V24" s="96" t="s">
        <v>83</v>
      </c>
      <c r="W24" s="96" t="s">
        <v>83</v>
      </c>
      <c r="X24" s="96" t="s">
        <v>83</v>
      </c>
      <c r="Y24" s="96" t="s">
        <v>83</v>
      </c>
      <c r="Z24" s="96" t="s">
        <v>83</v>
      </c>
      <c r="AA24" s="96" t="s">
        <v>83</v>
      </c>
      <c r="AB24" s="96" t="s">
        <v>83</v>
      </c>
      <c r="AC24" s="96" t="s">
        <v>83</v>
      </c>
      <c r="AD24" s="96" t="s">
        <v>83</v>
      </c>
      <c r="AE24" s="96" t="s">
        <v>83</v>
      </c>
      <c r="AF24" s="96" t="s">
        <v>83</v>
      </c>
      <c r="AG24" s="96" t="s">
        <v>83</v>
      </c>
      <c r="AH24" s="96" t="s">
        <v>83</v>
      </c>
      <c r="AI24" s="96" t="s">
        <v>83</v>
      </c>
      <c r="AJ24" s="96" t="s">
        <v>83</v>
      </c>
      <c r="AK24" s="96" t="s">
        <v>83</v>
      </c>
      <c r="AL24" s="97" t="s">
        <v>83</v>
      </c>
      <c r="AN24" s="94" t="s">
        <v>50</v>
      </c>
      <c r="AO24" s="90">
        <v>7</v>
      </c>
      <c r="AP24" s="57">
        <v>7</v>
      </c>
      <c r="AQ24" s="57">
        <v>181</v>
      </c>
      <c r="AR24" s="61">
        <v>15</v>
      </c>
    </row>
    <row r="25" spans="1:44" ht="15.5" x14ac:dyDescent="0.35">
      <c r="A25" s="206" t="s">
        <v>51</v>
      </c>
      <c r="B25" s="315">
        <v>3</v>
      </c>
      <c r="C25" s="101">
        <v>14.2</v>
      </c>
      <c r="D25" s="101">
        <v>8.5</v>
      </c>
      <c r="E25" s="100">
        <v>1.6705882352941175</v>
      </c>
      <c r="F25" s="128" t="s">
        <v>79</v>
      </c>
      <c r="G25" s="129">
        <v>75</v>
      </c>
      <c r="H25" s="96" t="s">
        <v>15</v>
      </c>
      <c r="I25" s="153">
        <v>148</v>
      </c>
      <c r="J25" s="96">
        <v>173</v>
      </c>
      <c r="K25" s="96">
        <v>1</v>
      </c>
      <c r="L25" s="98" t="s">
        <v>76</v>
      </c>
      <c r="M25" s="98">
        <v>3</v>
      </c>
      <c r="N25" s="96">
        <v>8.4</v>
      </c>
      <c r="O25" s="96">
        <v>12.6</v>
      </c>
      <c r="P25" s="96">
        <v>8.9</v>
      </c>
      <c r="Q25" s="96">
        <v>2.9</v>
      </c>
      <c r="R25" s="43">
        <v>15.69</v>
      </c>
      <c r="S25" s="98" t="s">
        <v>85</v>
      </c>
      <c r="T25" s="96" t="s">
        <v>83</v>
      </c>
      <c r="U25" s="96" t="s">
        <v>83</v>
      </c>
      <c r="V25" s="96" t="s">
        <v>83</v>
      </c>
      <c r="W25" s="96" t="s">
        <v>83</v>
      </c>
      <c r="X25" s="96" t="s">
        <v>83</v>
      </c>
      <c r="Y25" s="96" t="s">
        <v>83</v>
      </c>
      <c r="Z25" s="96" t="s">
        <v>83</v>
      </c>
      <c r="AA25" s="96" t="s">
        <v>83</v>
      </c>
      <c r="AB25" s="96" t="s">
        <v>83</v>
      </c>
      <c r="AC25" s="96" t="s">
        <v>83</v>
      </c>
      <c r="AD25" s="96" t="s">
        <v>83</v>
      </c>
      <c r="AE25" s="96" t="s">
        <v>83</v>
      </c>
      <c r="AF25" s="96" t="s">
        <v>83</v>
      </c>
      <c r="AG25" s="96" t="s">
        <v>83</v>
      </c>
      <c r="AH25" s="96" t="s">
        <v>83</v>
      </c>
      <c r="AI25" s="96" t="s">
        <v>83</v>
      </c>
      <c r="AJ25" s="96" t="s">
        <v>83</v>
      </c>
      <c r="AK25" s="96" t="s">
        <v>83</v>
      </c>
      <c r="AL25" s="97" t="s">
        <v>83</v>
      </c>
      <c r="AN25" s="94" t="s">
        <v>51</v>
      </c>
      <c r="AO25" s="90">
        <v>4</v>
      </c>
      <c r="AP25" s="57">
        <v>3</v>
      </c>
      <c r="AQ25" s="57">
        <v>47</v>
      </c>
      <c r="AR25" s="61">
        <v>14</v>
      </c>
    </row>
    <row r="26" spans="1:44" ht="15.5" x14ac:dyDescent="0.35">
      <c r="A26" s="206"/>
      <c r="B26" s="315">
        <v>4</v>
      </c>
      <c r="C26" s="101">
        <v>14.2</v>
      </c>
      <c r="D26" s="101">
        <v>8.8000000000000007</v>
      </c>
      <c r="E26" s="100">
        <v>1.6136363636363635</v>
      </c>
      <c r="F26" s="128" t="s">
        <v>80</v>
      </c>
      <c r="G26" s="129">
        <v>74</v>
      </c>
      <c r="H26" s="99"/>
      <c r="I26" s="129"/>
      <c r="J26" s="96" t="s">
        <v>83</v>
      </c>
      <c r="K26" s="142">
        <v>-1</v>
      </c>
      <c r="L26" s="98" t="s">
        <v>76</v>
      </c>
      <c r="M26" s="98">
        <v>3</v>
      </c>
      <c r="N26" s="96">
        <v>7.7</v>
      </c>
      <c r="O26" s="96" t="s">
        <v>83</v>
      </c>
      <c r="P26" s="96" t="s">
        <v>83</v>
      </c>
      <c r="Q26" s="96">
        <v>9.1</v>
      </c>
      <c r="R26" s="43">
        <v>15.86</v>
      </c>
      <c r="S26" s="98" t="s">
        <v>85</v>
      </c>
      <c r="T26" s="96" t="s">
        <v>83</v>
      </c>
      <c r="U26" s="96" t="s">
        <v>83</v>
      </c>
      <c r="V26" s="96" t="s">
        <v>83</v>
      </c>
      <c r="W26" s="96" t="s">
        <v>83</v>
      </c>
      <c r="X26" s="96" t="s">
        <v>83</v>
      </c>
      <c r="Y26" s="96" t="s">
        <v>83</v>
      </c>
      <c r="Z26" s="96" t="s">
        <v>83</v>
      </c>
      <c r="AA26" s="96" t="s">
        <v>83</v>
      </c>
      <c r="AB26" s="96" t="s">
        <v>83</v>
      </c>
      <c r="AC26" s="96" t="s">
        <v>83</v>
      </c>
      <c r="AD26" s="96" t="s">
        <v>83</v>
      </c>
      <c r="AE26" s="96" t="s">
        <v>83</v>
      </c>
      <c r="AF26" s="96" t="s">
        <v>83</v>
      </c>
      <c r="AG26" s="96" t="s">
        <v>83</v>
      </c>
      <c r="AH26" s="96" t="s">
        <v>83</v>
      </c>
      <c r="AI26" s="96" t="s">
        <v>83</v>
      </c>
      <c r="AJ26" s="96" t="s">
        <v>83</v>
      </c>
      <c r="AK26" s="96" t="s">
        <v>83</v>
      </c>
      <c r="AL26" s="97" t="s">
        <v>83</v>
      </c>
      <c r="AN26" s="94" t="s">
        <v>56</v>
      </c>
      <c r="AO26" s="90">
        <v>3</v>
      </c>
      <c r="AP26" s="57">
        <v>0</v>
      </c>
      <c r="AQ26" s="57">
        <v>43</v>
      </c>
      <c r="AR26" s="61">
        <v>9</v>
      </c>
    </row>
    <row r="27" spans="1:44" ht="16" thickBot="1" x14ac:dyDescent="0.4">
      <c r="A27" s="206"/>
      <c r="B27" s="325">
        <v>5</v>
      </c>
      <c r="C27" s="326">
        <v>13</v>
      </c>
      <c r="D27" s="326">
        <v>8.5</v>
      </c>
      <c r="E27" s="327">
        <v>1.5294117647058822</v>
      </c>
      <c r="F27" s="328"/>
      <c r="G27" s="329"/>
      <c r="H27" s="330"/>
      <c r="I27" s="331"/>
      <c r="J27" s="332" t="s">
        <v>83</v>
      </c>
      <c r="K27" s="332">
        <v>1</v>
      </c>
      <c r="L27" s="333" t="s">
        <v>76</v>
      </c>
      <c r="M27" s="333">
        <v>3</v>
      </c>
      <c r="N27" s="332">
        <v>6.4</v>
      </c>
      <c r="O27" s="332" t="s">
        <v>83</v>
      </c>
      <c r="P27" s="332">
        <v>7.1</v>
      </c>
      <c r="Q27" s="332">
        <v>7</v>
      </c>
      <c r="R27" s="332" t="s">
        <v>83</v>
      </c>
      <c r="S27" s="333" t="s">
        <v>85</v>
      </c>
      <c r="T27" s="332" t="s">
        <v>83</v>
      </c>
      <c r="U27" s="332" t="s">
        <v>83</v>
      </c>
      <c r="V27" s="332" t="s">
        <v>83</v>
      </c>
      <c r="W27" s="332" t="s">
        <v>83</v>
      </c>
      <c r="X27" s="332" t="s">
        <v>83</v>
      </c>
      <c r="Y27" s="332" t="s">
        <v>83</v>
      </c>
      <c r="Z27" s="332" t="s">
        <v>83</v>
      </c>
      <c r="AA27" s="332" t="s">
        <v>83</v>
      </c>
      <c r="AB27" s="332" t="s">
        <v>83</v>
      </c>
      <c r="AC27" s="332" t="s">
        <v>83</v>
      </c>
      <c r="AD27" s="332" t="s">
        <v>83</v>
      </c>
      <c r="AE27" s="332" t="s">
        <v>83</v>
      </c>
      <c r="AF27" s="332" t="s">
        <v>83</v>
      </c>
      <c r="AG27" s="332" t="s">
        <v>83</v>
      </c>
      <c r="AH27" s="332" t="s">
        <v>83</v>
      </c>
      <c r="AI27" s="332" t="s">
        <v>83</v>
      </c>
      <c r="AJ27" s="332" t="s">
        <v>83</v>
      </c>
      <c r="AK27" s="332" t="s">
        <v>83</v>
      </c>
      <c r="AL27" s="334" t="s">
        <v>83</v>
      </c>
      <c r="AN27" s="94" t="s">
        <v>91</v>
      </c>
      <c r="AO27" s="90">
        <v>4</v>
      </c>
      <c r="AP27" s="57">
        <v>0</v>
      </c>
      <c r="AQ27" s="57">
        <v>80</v>
      </c>
      <c r="AR27" s="61">
        <v>11</v>
      </c>
    </row>
    <row r="28" spans="1:44" ht="16" thickBot="1" x14ac:dyDescent="0.4">
      <c r="A28" s="207"/>
      <c r="B28" s="146" t="s">
        <v>5</v>
      </c>
      <c r="C28" s="147">
        <f>AVERAGE(C23:C27)</f>
        <v>13.62</v>
      </c>
      <c r="D28" s="147">
        <f t="shared" ref="D28:I28" si="8">AVERAGE(D23:D27)</f>
        <v>8.6999999999999993</v>
      </c>
      <c r="E28" s="210">
        <f t="shared" si="8"/>
        <v>1.5655405719600093</v>
      </c>
      <c r="F28" s="210"/>
      <c r="G28" s="210">
        <f t="shared" si="8"/>
        <v>72</v>
      </c>
      <c r="H28" s="210"/>
      <c r="I28" s="210">
        <f t="shared" si="8"/>
        <v>143.33333333333334</v>
      </c>
      <c r="J28" s="268">
        <f>AVERAGE(J23:J27)</f>
        <v>182.66666666666666</v>
      </c>
      <c r="K28" s="147"/>
      <c r="L28" s="147"/>
      <c r="M28" s="147"/>
      <c r="N28" s="268">
        <f>AVERAGE(N23:N27)</f>
        <v>7.7750000000000004</v>
      </c>
      <c r="O28" s="268">
        <f t="shared" ref="O28:R28" si="9">AVERAGE(O23:O27)</f>
        <v>11.600000000000001</v>
      </c>
      <c r="P28" s="268">
        <f t="shared" si="9"/>
        <v>8.9666666666666668</v>
      </c>
      <c r="Q28" s="268">
        <f t="shared" si="9"/>
        <v>6.1</v>
      </c>
      <c r="R28" s="268">
        <f t="shared" si="9"/>
        <v>15.782499999999999</v>
      </c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208"/>
      <c r="AN28" s="95" t="s">
        <v>123</v>
      </c>
      <c r="AO28" s="91">
        <v>10</v>
      </c>
      <c r="AP28" s="89">
        <v>8</v>
      </c>
      <c r="AQ28" s="89">
        <v>168</v>
      </c>
      <c r="AR28" s="88">
        <v>36</v>
      </c>
    </row>
    <row r="29" spans="1:44" x14ac:dyDescent="0.35">
      <c r="A29" s="359" t="s">
        <v>56</v>
      </c>
      <c r="B29" s="203">
        <v>1</v>
      </c>
      <c r="C29" s="70" t="s">
        <v>54</v>
      </c>
      <c r="D29" s="70">
        <v>3.2</v>
      </c>
      <c r="E29" s="70">
        <f>3/3.2</f>
        <v>0.9375</v>
      </c>
      <c r="F29" s="157" t="s">
        <v>77</v>
      </c>
      <c r="G29" s="171">
        <v>22</v>
      </c>
      <c r="H29" s="43" t="s">
        <v>13</v>
      </c>
      <c r="I29" s="171">
        <v>38.700000000000003</v>
      </c>
      <c r="J29" s="44" t="s">
        <v>83</v>
      </c>
      <c r="K29" s="44" t="s">
        <v>83</v>
      </c>
      <c r="L29" s="43" t="s">
        <v>84</v>
      </c>
      <c r="M29" s="43" t="s">
        <v>84</v>
      </c>
      <c r="N29" s="44" t="s">
        <v>83</v>
      </c>
      <c r="O29" s="44" t="s">
        <v>83</v>
      </c>
      <c r="P29" s="44" t="s">
        <v>83</v>
      </c>
      <c r="Q29" s="44" t="s">
        <v>83</v>
      </c>
      <c r="R29" s="44" t="s">
        <v>83</v>
      </c>
      <c r="S29" s="43" t="s">
        <v>85</v>
      </c>
      <c r="T29" s="44" t="s">
        <v>83</v>
      </c>
      <c r="U29" s="44" t="s">
        <v>83</v>
      </c>
      <c r="V29" s="44" t="s">
        <v>83</v>
      </c>
      <c r="W29" s="44" t="s">
        <v>83</v>
      </c>
      <c r="X29" s="44" t="s">
        <v>83</v>
      </c>
      <c r="Y29" s="44" t="s">
        <v>83</v>
      </c>
      <c r="Z29" s="44" t="s">
        <v>83</v>
      </c>
      <c r="AA29" s="44" t="s">
        <v>83</v>
      </c>
      <c r="AB29" s="44" t="s">
        <v>83</v>
      </c>
      <c r="AC29" s="44" t="s">
        <v>83</v>
      </c>
      <c r="AD29" s="44" t="s">
        <v>83</v>
      </c>
      <c r="AE29" s="44" t="s">
        <v>83</v>
      </c>
      <c r="AF29" s="44" t="s">
        <v>83</v>
      </c>
      <c r="AG29" s="44" t="s">
        <v>83</v>
      </c>
      <c r="AH29" s="44" t="s">
        <v>83</v>
      </c>
      <c r="AI29" s="44" t="s">
        <v>83</v>
      </c>
      <c r="AJ29" s="44" t="s">
        <v>83</v>
      </c>
      <c r="AK29" s="44" t="s">
        <v>83</v>
      </c>
      <c r="AL29" s="45" t="s">
        <v>83</v>
      </c>
    </row>
    <row r="30" spans="1:44" x14ac:dyDescent="0.35">
      <c r="A30" s="360"/>
      <c r="B30" s="203">
        <v>2</v>
      </c>
      <c r="C30" s="70">
        <v>3.4</v>
      </c>
      <c r="D30" s="70">
        <v>2.2999999999999998</v>
      </c>
      <c r="E30" s="70">
        <f>C30/D30</f>
        <v>1.4782608695652175</v>
      </c>
      <c r="F30" s="157" t="s">
        <v>78</v>
      </c>
      <c r="G30" s="171">
        <v>20</v>
      </c>
      <c r="H30" s="44" t="s">
        <v>83</v>
      </c>
      <c r="I30" s="156" t="s">
        <v>83</v>
      </c>
      <c r="J30" s="44" t="s">
        <v>83</v>
      </c>
      <c r="K30" s="44" t="s">
        <v>83</v>
      </c>
      <c r="L30" s="43" t="s">
        <v>84</v>
      </c>
      <c r="M30" s="43" t="s">
        <v>84</v>
      </c>
      <c r="N30" s="44" t="s">
        <v>83</v>
      </c>
      <c r="O30" s="44" t="s">
        <v>83</v>
      </c>
      <c r="P30" s="44" t="s">
        <v>83</v>
      </c>
      <c r="Q30" s="44" t="s">
        <v>83</v>
      </c>
      <c r="R30" s="44" t="s">
        <v>83</v>
      </c>
      <c r="S30" s="43" t="s">
        <v>85</v>
      </c>
      <c r="T30" s="44" t="s">
        <v>83</v>
      </c>
      <c r="U30" s="44" t="s">
        <v>83</v>
      </c>
      <c r="V30" s="44" t="s">
        <v>83</v>
      </c>
      <c r="W30" s="44" t="s">
        <v>83</v>
      </c>
      <c r="X30" s="44" t="s">
        <v>83</v>
      </c>
      <c r="Y30" s="44" t="s">
        <v>83</v>
      </c>
      <c r="Z30" s="44" t="s">
        <v>83</v>
      </c>
      <c r="AA30" s="44" t="s">
        <v>83</v>
      </c>
      <c r="AB30" s="44" t="s">
        <v>83</v>
      </c>
      <c r="AC30" s="44" t="s">
        <v>83</v>
      </c>
      <c r="AD30" s="44" t="s">
        <v>83</v>
      </c>
      <c r="AE30" s="44" t="s">
        <v>83</v>
      </c>
      <c r="AF30" s="44" t="s">
        <v>83</v>
      </c>
      <c r="AG30" s="44" t="s">
        <v>83</v>
      </c>
      <c r="AH30" s="44" t="s">
        <v>83</v>
      </c>
      <c r="AI30" s="44" t="s">
        <v>83</v>
      </c>
      <c r="AJ30" s="44" t="s">
        <v>83</v>
      </c>
      <c r="AK30" s="44" t="s">
        <v>83</v>
      </c>
      <c r="AL30" s="45" t="s">
        <v>83</v>
      </c>
    </row>
    <row r="31" spans="1:44" ht="15" thickBot="1" x14ac:dyDescent="0.4">
      <c r="A31" s="360"/>
      <c r="B31" s="203">
        <v>3</v>
      </c>
      <c r="C31" s="70">
        <v>3.6</v>
      </c>
      <c r="D31" s="70">
        <v>2.8</v>
      </c>
      <c r="E31" s="70">
        <f>C31/D31</f>
        <v>1.2857142857142858</v>
      </c>
      <c r="F31" s="155" t="s">
        <v>83</v>
      </c>
      <c r="G31" s="189" t="s">
        <v>83</v>
      </c>
      <c r="H31" s="44" t="s">
        <v>83</v>
      </c>
      <c r="I31" s="156" t="s">
        <v>83</v>
      </c>
      <c r="J31" s="44" t="s">
        <v>83</v>
      </c>
      <c r="K31" s="44" t="s">
        <v>83</v>
      </c>
      <c r="L31" s="43" t="s">
        <v>84</v>
      </c>
      <c r="M31" s="43" t="s">
        <v>84</v>
      </c>
      <c r="N31" s="44" t="s">
        <v>83</v>
      </c>
      <c r="O31" s="44" t="s">
        <v>83</v>
      </c>
      <c r="P31" s="44" t="s">
        <v>83</v>
      </c>
      <c r="Q31" s="44" t="s">
        <v>83</v>
      </c>
      <c r="R31" s="44" t="s">
        <v>83</v>
      </c>
      <c r="S31" s="43" t="s">
        <v>85</v>
      </c>
      <c r="T31" s="44" t="s">
        <v>83</v>
      </c>
      <c r="U31" s="44" t="s">
        <v>83</v>
      </c>
      <c r="V31" s="44" t="s">
        <v>83</v>
      </c>
      <c r="W31" s="44" t="s">
        <v>83</v>
      </c>
      <c r="X31" s="44" t="s">
        <v>83</v>
      </c>
      <c r="Y31" s="44" t="s">
        <v>83</v>
      </c>
      <c r="Z31" s="44" t="s">
        <v>83</v>
      </c>
      <c r="AA31" s="44" t="s">
        <v>83</v>
      </c>
      <c r="AB31" s="44" t="s">
        <v>83</v>
      </c>
      <c r="AC31" s="44" t="s">
        <v>83</v>
      </c>
      <c r="AD31" s="44" t="s">
        <v>83</v>
      </c>
      <c r="AE31" s="44" t="s">
        <v>83</v>
      </c>
      <c r="AF31" s="44" t="s">
        <v>83</v>
      </c>
      <c r="AG31" s="44" t="s">
        <v>83</v>
      </c>
      <c r="AH31" s="44" t="s">
        <v>83</v>
      </c>
      <c r="AI31" s="44" t="s">
        <v>83</v>
      </c>
      <c r="AJ31" s="44" t="s">
        <v>83</v>
      </c>
      <c r="AK31" s="44" t="s">
        <v>83</v>
      </c>
      <c r="AL31" s="45" t="s">
        <v>83</v>
      </c>
    </row>
    <row r="32" spans="1:44" ht="15" thickBot="1" x14ac:dyDescent="0.4">
      <c r="A32" s="361"/>
      <c r="B32" s="187" t="s">
        <v>5</v>
      </c>
      <c r="C32" s="177">
        <f>AVERAGE(C29:C31)</f>
        <v>3.5</v>
      </c>
      <c r="D32" s="177">
        <f t="shared" ref="D32:I32" si="10">AVERAGE(D29:D31)</f>
        <v>2.7666666666666671</v>
      </c>
      <c r="E32" s="177">
        <f t="shared" si="10"/>
        <v>1.2338250517598344</v>
      </c>
      <c r="F32" s="177"/>
      <c r="G32" s="177">
        <f t="shared" si="10"/>
        <v>21</v>
      </c>
      <c r="H32" s="177"/>
      <c r="I32" s="177">
        <f t="shared" si="10"/>
        <v>38.700000000000003</v>
      </c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98"/>
    </row>
    <row r="33" spans="1:38" x14ac:dyDescent="0.35">
      <c r="A33" s="359" t="s">
        <v>91</v>
      </c>
      <c r="B33" s="203">
        <v>1</v>
      </c>
      <c r="C33" s="70">
        <v>2.4</v>
      </c>
      <c r="D33" s="70">
        <v>2.2000000000000002</v>
      </c>
      <c r="E33" s="70">
        <f>C33/D33</f>
        <v>1.0909090909090908</v>
      </c>
      <c r="F33" s="157" t="s">
        <v>77</v>
      </c>
      <c r="G33" s="171">
        <v>27</v>
      </c>
      <c r="H33" s="43" t="s">
        <v>13</v>
      </c>
      <c r="I33" s="158">
        <v>51.1</v>
      </c>
      <c r="J33" s="44" t="s">
        <v>83</v>
      </c>
      <c r="K33" s="44" t="s">
        <v>83</v>
      </c>
      <c r="L33" s="43" t="s">
        <v>84</v>
      </c>
      <c r="M33" s="43" t="s">
        <v>84</v>
      </c>
      <c r="N33" s="44" t="s">
        <v>83</v>
      </c>
      <c r="O33" s="44" t="s">
        <v>83</v>
      </c>
      <c r="P33" s="44" t="s">
        <v>83</v>
      </c>
      <c r="Q33" s="44" t="s">
        <v>83</v>
      </c>
      <c r="R33" s="44" t="s">
        <v>83</v>
      </c>
      <c r="S33" s="43" t="s">
        <v>85</v>
      </c>
      <c r="T33" s="44" t="s">
        <v>83</v>
      </c>
      <c r="U33" s="44" t="s">
        <v>83</v>
      </c>
      <c r="V33" s="44" t="s">
        <v>83</v>
      </c>
      <c r="W33" s="44" t="s">
        <v>83</v>
      </c>
      <c r="X33" s="44" t="s">
        <v>83</v>
      </c>
      <c r="Y33" s="44" t="s">
        <v>83</v>
      </c>
      <c r="Z33" s="44" t="s">
        <v>83</v>
      </c>
      <c r="AA33" s="44" t="s">
        <v>83</v>
      </c>
      <c r="AB33" s="44" t="s">
        <v>83</v>
      </c>
      <c r="AC33" s="44" t="s">
        <v>83</v>
      </c>
      <c r="AD33" s="44" t="s">
        <v>83</v>
      </c>
      <c r="AE33" s="44" t="s">
        <v>83</v>
      </c>
      <c r="AF33" s="44" t="s">
        <v>83</v>
      </c>
      <c r="AG33" s="44" t="s">
        <v>83</v>
      </c>
      <c r="AH33" s="44" t="s">
        <v>83</v>
      </c>
      <c r="AI33" s="44" t="s">
        <v>83</v>
      </c>
      <c r="AJ33" s="44" t="s">
        <v>83</v>
      </c>
      <c r="AK33" s="44" t="s">
        <v>83</v>
      </c>
      <c r="AL33" s="45" t="s">
        <v>83</v>
      </c>
    </row>
    <row r="34" spans="1:38" x14ac:dyDescent="0.35">
      <c r="A34" s="360"/>
      <c r="B34" s="203">
        <v>2</v>
      </c>
      <c r="C34" s="70" t="s">
        <v>53</v>
      </c>
      <c r="D34" s="70">
        <v>2.2999999999999998</v>
      </c>
      <c r="E34" s="70">
        <f>1.8/D34</f>
        <v>0.78260869565217395</v>
      </c>
      <c r="F34" s="157" t="s">
        <v>78</v>
      </c>
      <c r="G34" s="171">
        <v>30</v>
      </c>
      <c r="H34" s="43" t="s">
        <v>14</v>
      </c>
      <c r="I34" s="158">
        <v>43.2</v>
      </c>
      <c r="J34" s="44" t="s">
        <v>83</v>
      </c>
      <c r="K34" s="44" t="s">
        <v>83</v>
      </c>
      <c r="L34" s="43" t="s">
        <v>84</v>
      </c>
      <c r="M34" s="43" t="s">
        <v>84</v>
      </c>
      <c r="N34" s="44" t="s">
        <v>83</v>
      </c>
      <c r="O34" s="44" t="s">
        <v>83</v>
      </c>
      <c r="P34" s="44" t="s">
        <v>83</v>
      </c>
      <c r="Q34" s="44" t="s">
        <v>83</v>
      </c>
      <c r="R34" s="44" t="s">
        <v>83</v>
      </c>
      <c r="S34" s="43" t="s">
        <v>85</v>
      </c>
      <c r="T34" s="44" t="s">
        <v>83</v>
      </c>
      <c r="U34" s="44" t="s">
        <v>83</v>
      </c>
      <c r="V34" s="44" t="s">
        <v>83</v>
      </c>
      <c r="W34" s="44" t="s">
        <v>83</v>
      </c>
      <c r="X34" s="44" t="s">
        <v>83</v>
      </c>
      <c r="Y34" s="44" t="s">
        <v>83</v>
      </c>
      <c r="Z34" s="44" t="s">
        <v>83</v>
      </c>
      <c r="AA34" s="44" t="s">
        <v>83</v>
      </c>
      <c r="AB34" s="44" t="s">
        <v>83</v>
      </c>
      <c r="AC34" s="44" t="s">
        <v>83</v>
      </c>
      <c r="AD34" s="44" t="s">
        <v>83</v>
      </c>
      <c r="AE34" s="44" t="s">
        <v>83</v>
      </c>
      <c r="AF34" s="44" t="s">
        <v>83</v>
      </c>
      <c r="AG34" s="44" t="s">
        <v>83</v>
      </c>
      <c r="AH34" s="44" t="s">
        <v>83</v>
      </c>
      <c r="AI34" s="44" t="s">
        <v>83</v>
      </c>
      <c r="AJ34" s="44" t="s">
        <v>83</v>
      </c>
      <c r="AK34" s="44" t="s">
        <v>83</v>
      </c>
      <c r="AL34" s="45" t="s">
        <v>83</v>
      </c>
    </row>
    <row r="35" spans="1:38" x14ac:dyDescent="0.35">
      <c r="A35" s="360"/>
      <c r="B35" s="203">
        <v>3</v>
      </c>
      <c r="C35" s="70">
        <v>2.4</v>
      </c>
      <c r="D35" s="70">
        <v>2.1</v>
      </c>
      <c r="E35" s="70">
        <f>C35/D35</f>
        <v>1.1428571428571428</v>
      </c>
      <c r="F35" s="157" t="s">
        <v>79</v>
      </c>
      <c r="G35" s="171">
        <v>22</v>
      </c>
      <c r="H35" s="44" t="s">
        <v>83</v>
      </c>
      <c r="I35" s="156" t="s">
        <v>83</v>
      </c>
      <c r="J35" s="44" t="s">
        <v>83</v>
      </c>
      <c r="K35" s="44" t="s">
        <v>83</v>
      </c>
      <c r="L35" s="43" t="s">
        <v>84</v>
      </c>
      <c r="M35" s="43" t="s">
        <v>84</v>
      </c>
      <c r="N35" s="44" t="s">
        <v>83</v>
      </c>
      <c r="O35" s="44" t="s">
        <v>83</v>
      </c>
      <c r="P35" s="44" t="s">
        <v>83</v>
      </c>
      <c r="Q35" s="44" t="s">
        <v>83</v>
      </c>
      <c r="R35" s="44" t="s">
        <v>83</v>
      </c>
      <c r="S35" s="43" t="s">
        <v>85</v>
      </c>
      <c r="T35" s="44" t="s">
        <v>83</v>
      </c>
      <c r="U35" s="44" t="s">
        <v>83</v>
      </c>
      <c r="V35" s="44" t="s">
        <v>83</v>
      </c>
      <c r="W35" s="44" t="s">
        <v>83</v>
      </c>
      <c r="X35" s="44" t="s">
        <v>83</v>
      </c>
      <c r="Y35" s="44" t="s">
        <v>83</v>
      </c>
      <c r="Z35" s="44" t="s">
        <v>83</v>
      </c>
      <c r="AA35" s="44" t="s">
        <v>83</v>
      </c>
      <c r="AB35" s="44" t="s">
        <v>83</v>
      </c>
      <c r="AC35" s="44" t="s">
        <v>83</v>
      </c>
      <c r="AD35" s="44" t="s">
        <v>83</v>
      </c>
      <c r="AE35" s="44" t="s">
        <v>83</v>
      </c>
      <c r="AF35" s="44" t="s">
        <v>83</v>
      </c>
      <c r="AG35" s="44" t="s">
        <v>83</v>
      </c>
      <c r="AH35" s="44" t="s">
        <v>83</v>
      </c>
      <c r="AI35" s="44" t="s">
        <v>83</v>
      </c>
      <c r="AJ35" s="44" t="s">
        <v>83</v>
      </c>
      <c r="AK35" s="44" t="s">
        <v>83</v>
      </c>
      <c r="AL35" s="45" t="s">
        <v>83</v>
      </c>
    </row>
    <row r="36" spans="1:38" ht="15" thickBot="1" x14ac:dyDescent="0.4">
      <c r="A36" s="360"/>
      <c r="B36" s="203">
        <v>4</v>
      </c>
      <c r="C36" s="70">
        <v>2.6</v>
      </c>
      <c r="D36" s="70">
        <v>2.4</v>
      </c>
      <c r="E36" s="70">
        <f>C36/D36</f>
        <v>1.0833333333333335</v>
      </c>
      <c r="F36" s="155" t="s">
        <v>83</v>
      </c>
      <c r="G36" s="189" t="s">
        <v>83</v>
      </c>
      <c r="H36" s="44" t="s">
        <v>83</v>
      </c>
      <c r="I36" s="156" t="s">
        <v>83</v>
      </c>
      <c r="J36" s="44" t="s">
        <v>83</v>
      </c>
      <c r="K36" s="44" t="s">
        <v>83</v>
      </c>
      <c r="L36" s="43" t="s">
        <v>84</v>
      </c>
      <c r="M36" s="43" t="s">
        <v>84</v>
      </c>
      <c r="N36" s="44" t="s">
        <v>83</v>
      </c>
      <c r="O36" s="44" t="s">
        <v>83</v>
      </c>
      <c r="P36" s="44" t="s">
        <v>83</v>
      </c>
      <c r="Q36" s="44" t="s">
        <v>83</v>
      </c>
      <c r="R36" s="44" t="s">
        <v>83</v>
      </c>
      <c r="S36" s="43" t="s">
        <v>85</v>
      </c>
      <c r="T36" s="44" t="s">
        <v>83</v>
      </c>
      <c r="U36" s="44" t="s">
        <v>83</v>
      </c>
      <c r="V36" s="44" t="s">
        <v>83</v>
      </c>
      <c r="W36" s="44" t="s">
        <v>83</v>
      </c>
      <c r="X36" s="44" t="s">
        <v>83</v>
      </c>
      <c r="Y36" s="44" t="s">
        <v>83</v>
      </c>
      <c r="Z36" s="44" t="s">
        <v>83</v>
      </c>
      <c r="AA36" s="44" t="s">
        <v>83</v>
      </c>
      <c r="AB36" s="44" t="s">
        <v>83</v>
      </c>
      <c r="AC36" s="44" t="s">
        <v>83</v>
      </c>
      <c r="AD36" s="44" t="s">
        <v>83</v>
      </c>
      <c r="AE36" s="44" t="s">
        <v>83</v>
      </c>
      <c r="AF36" s="44" t="s">
        <v>83</v>
      </c>
      <c r="AG36" s="44" t="s">
        <v>83</v>
      </c>
      <c r="AH36" s="44" t="s">
        <v>83</v>
      </c>
      <c r="AI36" s="44" t="s">
        <v>83</v>
      </c>
      <c r="AJ36" s="44" t="s">
        <v>83</v>
      </c>
      <c r="AK36" s="44" t="s">
        <v>83</v>
      </c>
      <c r="AL36" s="45" t="s">
        <v>83</v>
      </c>
    </row>
    <row r="37" spans="1:38" ht="15" thickBot="1" x14ac:dyDescent="0.4">
      <c r="A37" s="361"/>
      <c r="B37" s="60" t="s">
        <v>5</v>
      </c>
      <c r="C37" s="177">
        <f>AVERAGE(C33:C36)</f>
        <v>2.4666666666666668</v>
      </c>
      <c r="D37" s="177">
        <f t="shared" ref="D37:E37" si="11">AVERAGE(D33:D36)</f>
        <v>2.25</v>
      </c>
      <c r="E37" s="177">
        <f t="shared" si="11"/>
        <v>1.0249270656879352</v>
      </c>
      <c r="F37" s="177"/>
      <c r="G37" s="177">
        <f>AVERAGE(G33:G35)</f>
        <v>26.333333333333332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98"/>
    </row>
    <row r="38" spans="1:38" ht="15" thickBot="1" x14ac:dyDescent="0.4">
      <c r="A38" s="202"/>
      <c r="B38" s="191"/>
      <c r="C38" s="177"/>
      <c r="D38" s="177"/>
      <c r="E38" s="177"/>
      <c r="F38" s="178"/>
      <c r="G38" s="179"/>
      <c r="H38" s="182"/>
      <c r="I38" s="179"/>
      <c r="J38" s="180"/>
      <c r="K38" s="181"/>
      <c r="L38" s="188"/>
      <c r="M38" s="181"/>
      <c r="N38" s="180"/>
      <c r="O38" s="180"/>
      <c r="P38" s="180"/>
      <c r="Q38" s="180"/>
      <c r="R38" s="181"/>
      <c r="S38" s="181"/>
      <c r="T38" s="181"/>
      <c r="U38" s="181"/>
      <c r="V38" s="183"/>
      <c r="W38" s="178"/>
      <c r="X38" s="184"/>
      <c r="Y38" s="185"/>
      <c r="Z38" s="184"/>
      <c r="AA38" s="357"/>
      <c r="AB38" s="358"/>
      <c r="AC38" s="181"/>
      <c r="AD38" s="181"/>
      <c r="AE38" s="180"/>
      <c r="AF38" s="181"/>
      <c r="AG38" s="180"/>
      <c r="AH38" s="180"/>
      <c r="AI38" s="180"/>
      <c r="AJ38" s="180"/>
      <c r="AK38" s="180"/>
      <c r="AL38" s="186"/>
    </row>
    <row r="39" spans="1:38" ht="14.5" customHeight="1" x14ac:dyDescent="0.35">
      <c r="A39" s="366" t="s">
        <v>145</v>
      </c>
      <c r="B39" s="200">
        <v>1</v>
      </c>
      <c r="C39" s="148">
        <v>3.7</v>
      </c>
      <c r="D39" s="148">
        <v>3.6</v>
      </c>
      <c r="E39" s="149">
        <f t="shared" ref="E39:E48" si="12">C39/D39</f>
        <v>1.0277777777777779</v>
      </c>
      <c r="F39" s="159" t="s">
        <v>77</v>
      </c>
      <c r="G39" s="160">
        <v>20.8</v>
      </c>
      <c r="H39" s="148" t="s">
        <v>13</v>
      </c>
      <c r="I39" s="160">
        <v>38.200000000000003</v>
      </c>
      <c r="J39" s="148">
        <v>148</v>
      </c>
      <c r="K39" s="148">
        <v>-1</v>
      </c>
      <c r="L39" s="148" t="s">
        <v>76</v>
      </c>
      <c r="M39" s="148">
        <v>3</v>
      </c>
      <c r="N39" s="148">
        <v>2.5</v>
      </c>
      <c r="O39" s="148">
        <v>2.9</v>
      </c>
      <c r="P39" s="148">
        <v>2.6</v>
      </c>
      <c r="Q39" s="148">
        <v>20</v>
      </c>
      <c r="R39" s="148">
        <v>8.6</v>
      </c>
      <c r="S39" s="148" t="s">
        <v>76</v>
      </c>
      <c r="T39" s="148">
        <v>1.6</v>
      </c>
      <c r="U39" s="273">
        <v>1</v>
      </c>
      <c r="V39" s="148">
        <f>T39/U39</f>
        <v>1.6</v>
      </c>
      <c r="W39" s="199" t="s">
        <v>77</v>
      </c>
      <c r="X39" s="160">
        <v>16.399999999999999</v>
      </c>
      <c r="Y39" s="159" t="s">
        <v>13</v>
      </c>
      <c r="Z39" s="160">
        <v>37.299999999999997</v>
      </c>
      <c r="AA39" s="159" t="s">
        <v>13</v>
      </c>
      <c r="AB39" s="160">
        <v>175</v>
      </c>
      <c r="AC39" s="148">
        <v>1</v>
      </c>
      <c r="AD39" s="148" t="s">
        <v>84</v>
      </c>
      <c r="AE39" s="148">
        <v>5.8</v>
      </c>
      <c r="AF39" s="148">
        <v>2.9</v>
      </c>
      <c r="AG39" s="148" t="s">
        <v>84</v>
      </c>
      <c r="AH39" s="148">
        <v>3.9</v>
      </c>
      <c r="AI39" s="148">
        <v>3.2</v>
      </c>
      <c r="AJ39" s="148">
        <f>AVERAGE(AH39)</f>
        <v>3.9</v>
      </c>
      <c r="AK39" s="148">
        <v>8.1999999999999993</v>
      </c>
      <c r="AL39" s="150">
        <f>(AJ39/AK39)*100</f>
        <v>47.560975609756099</v>
      </c>
    </row>
    <row r="40" spans="1:38" x14ac:dyDescent="0.35">
      <c r="A40" s="367"/>
      <c r="B40" s="201">
        <v>2</v>
      </c>
      <c r="C40" s="130">
        <v>3.8</v>
      </c>
      <c r="D40" s="130">
        <v>3.1</v>
      </c>
      <c r="E40" s="131">
        <f t="shared" si="12"/>
        <v>1.225806451612903</v>
      </c>
      <c r="F40" s="161" t="s">
        <v>78</v>
      </c>
      <c r="G40" s="162">
        <v>19.899999999999999</v>
      </c>
      <c r="H40" s="130" t="s">
        <v>14</v>
      </c>
      <c r="I40" s="162">
        <v>39.299999999999997</v>
      </c>
      <c r="J40" s="130">
        <v>153</v>
      </c>
      <c r="K40" s="130">
        <f>-1</f>
        <v>-1</v>
      </c>
      <c r="L40" s="130" t="s">
        <v>76</v>
      </c>
      <c r="M40" s="130">
        <v>3</v>
      </c>
      <c r="N40" s="130">
        <v>2.9</v>
      </c>
      <c r="O40" s="130">
        <v>3.3</v>
      </c>
      <c r="P40" s="130">
        <v>2.9</v>
      </c>
      <c r="Q40" s="130">
        <v>10</v>
      </c>
      <c r="R40" s="130">
        <v>7.6</v>
      </c>
      <c r="S40" s="130" t="s">
        <v>76</v>
      </c>
      <c r="T40" s="130">
        <v>1.7</v>
      </c>
      <c r="U40" s="130">
        <v>1.2</v>
      </c>
      <c r="V40" s="131">
        <f>T40/U40</f>
        <v>1.4166666666666667</v>
      </c>
      <c r="W40" s="163" t="s">
        <v>78</v>
      </c>
      <c r="X40" s="162">
        <v>21</v>
      </c>
      <c r="Y40" s="161" t="s">
        <v>14</v>
      </c>
      <c r="Z40" s="162">
        <v>38.5</v>
      </c>
      <c r="AA40" s="161" t="s">
        <v>14</v>
      </c>
      <c r="AB40" s="162">
        <v>182</v>
      </c>
      <c r="AC40" s="130">
        <v>1</v>
      </c>
      <c r="AD40" s="130" t="s">
        <v>84</v>
      </c>
      <c r="AE40" s="130">
        <v>6.1</v>
      </c>
      <c r="AF40" s="130">
        <v>3.6</v>
      </c>
      <c r="AG40" s="130" t="s">
        <v>84</v>
      </c>
      <c r="AH40" s="130">
        <v>3.8</v>
      </c>
      <c r="AI40" s="130">
        <v>3.1</v>
      </c>
      <c r="AJ40" s="130">
        <f t="shared" ref="AJ40:AJ46" si="13">AVERAGE(AH40)</f>
        <v>3.8</v>
      </c>
      <c r="AK40" s="130">
        <v>7.3</v>
      </c>
      <c r="AL40" s="132">
        <f>(AJ40/AK40)*100</f>
        <v>52.054794520547944</v>
      </c>
    </row>
    <row r="41" spans="1:38" x14ac:dyDescent="0.35">
      <c r="A41" s="367"/>
      <c r="B41" s="201">
        <v>3</v>
      </c>
      <c r="C41" s="130">
        <v>4.2</v>
      </c>
      <c r="D41" s="130">
        <v>2.9</v>
      </c>
      <c r="E41" s="131">
        <f t="shared" si="12"/>
        <v>1.4482758620689655</v>
      </c>
      <c r="F41" s="161" t="s">
        <v>79</v>
      </c>
      <c r="G41" s="162">
        <v>21.7</v>
      </c>
      <c r="H41" s="130" t="s">
        <v>15</v>
      </c>
      <c r="I41" s="162" t="s">
        <v>107</v>
      </c>
      <c r="J41" s="130">
        <v>144</v>
      </c>
      <c r="K41" s="130">
        <v>-1</v>
      </c>
      <c r="L41" s="130" t="s">
        <v>76</v>
      </c>
      <c r="M41" s="130">
        <v>3</v>
      </c>
      <c r="N41" s="130">
        <v>2.8</v>
      </c>
      <c r="O41" s="130">
        <v>4</v>
      </c>
      <c r="P41" s="130">
        <v>3.6</v>
      </c>
      <c r="Q41" s="130">
        <v>48</v>
      </c>
      <c r="R41" s="130">
        <v>9.1999999999999993</v>
      </c>
      <c r="S41" s="130" t="s">
        <v>76</v>
      </c>
      <c r="T41" s="130">
        <v>1.2</v>
      </c>
      <c r="U41" s="274">
        <v>1.3</v>
      </c>
      <c r="V41" s="131">
        <f>T41/U41</f>
        <v>0.92307692307692302</v>
      </c>
      <c r="W41" s="163" t="s">
        <v>79</v>
      </c>
      <c r="X41" s="162">
        <v>17.600000000000001</v>
      </c>
      <c r="Y41" s="161" t="s">
        <v>15</v>
      </c>
      <c r="Z41" s="164" t="s">
        <v>83</v>
      </c>
      <c r="AA41" s="172" t="s">
        <v>99</v>
      </c>
      <c r="AB41" s="162">
        <v>187</v>
      </c>
      <c r="AC41" s="130">
        <v>1</v>
      </c>
      <c r="AD41" s="130" t="s">
        <v>84</v>
      </c>
      <c r="AE41" s="130">
        <v>4.0999999999999996</v>
      </c>
      <c r="AF41" s="130">
        <v>3.7</v>
      </c>
      <c r="AG41" s="130" t="s">
        <v>84</v>
      </c>
      <c r="AH41" s="130">
        <v>3.5</v>
      </c>
      <c r="AI41" s="130">
        <v>3.6</v>
      </c>
      <c r="AJ41" s="130">
        <f t="shared" si="13"/>
        <v>3.5</v>
      </c>
      <c r="AK41" s="130">
        <v>9.9</v>
      </c>
      <c r="AL41" s="132">
        <f t="shared" ref="AL41:AL46" si="14">(AJ41/AK41)*100</f>
        <v>35.353535353535356</v>
      </c>
    </row>
    <row r="42" spans="1:38" x14ac:dyDescent="0.35">
      <c r="A42" s="367"/>
      <c r="B42" s="201">
        <v>4</v>
      </c>
      <c r="C42" s="130">
        <v>4.3</v>
      </c>
      <c r="D42" s="130">
        <v>3.5</v>
      </c>
      <c r="E42" s="131">
        <f t="shared" si="12"/>
        <v>1.2285714285714284</v>
      </c>
      <c r="F42" s="161" t="s">
        <v>80</v>
      </c>
      <c r="G42" s="162">
        <v>22.3</v>
      </c>
      <c r="H42" s="130" t="s">
        <v>19</v>
      </c>
      <c r="I42" s="162" t="s">
        <v>106</v>
      </c>
      <c r="J42" s="130">
        <v>167</v>
      </c>
      <c r="K42" s="130">
        <v>-1</v>
      </c>
      <c r="L42" s="130" t="s">
        <v>76</v>
      </c>
      <c r="M42" s="130">
        <v>3</v>
      </c>
      <c r="N42" s="130">
        <v>3.2</v>
      </c>
      <c r="O42" s="130">
        <v>3.7</v>
      </c>
      <c r="P42" s="130">
        <v>3.3</v>
      </c>
      <c r="Q42" s="130">
        <v>8</v>
      </c>
      <c r="R42" s="130">
        <v>7</v>
      </c>
      <c r="S42" s="130" t="s">
        <v>76</v>
      </c>
      <c r="T42" s="130">
        <v>1.6</v>
      </c>
      <c r="U42" s="274">
        <v>1.3</v>
      </c>
      <c r="V42" s="131">
        <f>T42/U42</f>
        <v>1.2307692307692308</v>
      </c>
      <c r="W42" s="163" t="s">
        <v>80</v>
      </c>
      <c r="X42" s="164" t="s">
        <v>83</v>
      </c>
      <c r="Y42" s="161" t="s">
        <v>19</v>
      </c>
      <c r="Z42" s="162">
        <v>41.4</v>
      </c>
      <c r="AA42" s="163" t="s">
        <v>83</v>
      </c>
      <c r="AB42" s="164" t="s">
        <v>83</v>
      </c>
      <c r="AC42" s="130">
        <v>1</v>
      </c>
      <c r="AD42" s="130" t="s">
        <v>84</v>
      </c>
      <c r="AE42" s="130">
        <v>6.1</v>
      </c>
      <c r="AF42" s="133" t="s">
        <v>83</v>
      </c>
      <c r="AG42" s="130" t="s">
        <v>84</v>
      </c>
      <c r="AH42" s="130">
        <v>4.0999999999999996</v>
      </c>
      <c r="AI42" s="130">
        <v>3.3</v>
      </c>
      <c r="AJ42" s="130">
        <f t="shared" si="13"/>
        <v>4.0999999999999996</v>
      </c>
      <c r="AK42" s="130">
        <v>5.6</v>
      </c>
      <c r="AL42" s="132">
        <f t="shared" si="14"/>
        <v>73.214285714285708</v>
      </c>
    </row>
    <row r="43" spans="1:38" x14ac:dyDescent="0.35">
      <c r="A43" s="367"/>
      <c r="B43" s="201">
        <v>5</v>
      </c>
      <c r="C43" s="130">
        <v>3.6</v>
      </c>
      <c r="D43" s="130">
        <v>3.6</v>
      </c>
      <c r="E43" s="131">
        <f t="shared" si="12"/>
        <v>1</v>
      </c>
      <c r="F43" s="161" t="s">
        <v>81</v>
      </c>
      <c r="G43" s="162">
        <v>20.399999999999999</v>
      </c>
      <c r="H43" s="130" t="s">
        <v>20</v>
      </c>
      <c r="I43" s="162" t="s">
        <v>105</v>
      </c>
      <c r="J43" s="130">
        <v>120</v>
      </c>
      <c r="K43" s="130">
        <v>-1</v>
      </c>
      <c r="L43" s="130" t="s">
        <v>76</v>
      </c>
      <c r="M43" s="130">
        <v>3</v>
      </c>
      <c r="N43" s="130" t="s">
        <v>108</v>
      </c>
      <c r="O43" s="130">
        <v>3.4</v>
      </c>
      <c r="P43" s="130">
        <v>2.8</v>
      </c>
      <c r="Q43" s="130">
        <v>21</v>
      </c>
      <c r="R43" s="130">
        <v>11</v>
      </c>
      <c r="S43" s="130" t="s">
        <v>85</v>
      </c>
      <c r="T43" s="133" t="s">
        <v>83</v>
      </c>
      <c r="U43" s="133" t="s">
        <v>83</v>
      </c>
      <c r="V43" s="133" t="s">
        <v>83</v>
      </c>
      <c r="W43" s="163" t="s">
        <v>81</v>
      </c>
      <c r="X43" s="164" t="s">
        <v>83</v>
      </c>
      <c r="Y43" s="161" t="s">
        <v>20</v>
      </c>
      <c r="Z43" s="164" t="s">
        <v>83</v>
      </c>
      <c r="AA43" s="163" t="s">
        <v>83</v>
      </c>
      <c r="AB43" s="164" t="s">
        <v>83</v>
      </c>
      <c r="AC43" s="133" t="s">
        <v>83</v>
      </c>
      <c r="AD43" s="133" t="s">
        <v>83</v>
      </c>
      <c r="AE43" s="133" t="s">
        <v>83</v>
      </c>
      <c r="AF43" s="133" t="s">
        <v>83</v>
      </c>
      <c r="AG43" s="133" t="s">
        <v>83</v>
      </c>
      <c r="AH43" s="130">
        <v>3.8</v>
      </c>
      <c r="AI43" s="130">
        <v>2.5</v>
      </c>
      <c r="AJ43" s="130">
        <f t="shared" si="13"/>
        <v>3.8</v>
      </c>
      <c r="AK43" s="130">
        <v>13.4</v>
      </c>
      <c r="AL43" s="132">
        <f t="shared" si="14"/>
        <v>28.35820895522388</v>
      </c>
    </row>
    <row r="44" spans="1:38" x14ac:dyDescent="0.35">
      <c r="A44" s="367"/>
      <c r="B44" s="201">
        <v>6</v>
      </c>
      <c r="C44" s="130">
        <v>3.1</v>
      </c>
      <c r="D44" s="130">
        <v>2.5</v>
      </c>
      <c r="E44" s="131">
        <f t="shared" si="12"/>
        <v>1.24</v>
      </c>
      <c r="F44" s="161" t="s">
        <v>82</v>
      </c>
      <c r="G44" s="162">
        <v>19.100000000000001</v>
      </c>
      <c r="H44" s="134" t="s">
        <v>97</v>
      </c>
      <c r="I44" s="162" t="s">
        <v>104</v>
      </c>
      <c r="J44" s="130">
        <v>134</v>
      </c>
      <c r="K44" s="130">
        <v>-1</v>
      </c>
      <c r="L44" s="130" t="s">
        <v>76</v>
      </c>
      <c r="M44" s="130">
        <v>3</v>
      </c>
      <c r="N44" s="130">
        <v>1.9</v>
      </c>
      <c r="O44" s="130">
        <v>2.9</v>
      </c>
      <c r="P44" s="130">
        <v>2.5</v>
      </c>
      <c r="Q44" s="130">
        <v>41</v>
      </c>
      <c r="R44" s="130">
        <v>9.8000000000000007</v>
      </c>
      <c r="S44" s="130" t="s">
        <v>76</v>
      </c>
      <c r="T44" s="130">
        <v>1.2</v>
      </c>
      <c r="U44" s="274">
        <v>1.2</v>
      </c>
      <c r="V44" s="131">
        <f>T44/U44</f>
        <v>1</v>
      </c>
      <c r="W44" s="163" t="s">
        <v>82</v>
      </c>
      <c r="X44" s="164" t="s">
        <v>83</v>
      </c>
      <c r="Y44" s="172" t="s">
        <v>97</v>
      </c>
      <c r="Z44" s="162">
        <v>36.200000000000003</v>
      </c>
      <c r="AA44" s="163" t="s">
        <v>83</v>
      </c>
      <c r="AB44" s="164" t="s">
        <v>83</v>
      </c>
      <c r="AC44" s="130">
        <v>1</v>
      </c>
      <c r="AD44" s="130" t="s">
        <v>84</v>
      </c>
      <c r="AE44" s="130">
        <v>4.7</v>
      </c>
      <c r="AF44" s="133" t="s">
        <v>83</v>
      </c>
      <c r="AG44" s="130" t="s">
        <v>84</v>
      </c>
      <c r="AH44" s="130">
        <v>2.6</v>
      </c>
      <c r="AI44" s="130">
        <v>3</v>
      </c>
      <c r="AJ44" s="130">
        <f t="shared" si="13"/>
        <v>2.6</v>
      </c>
      <c r="AK44" s="130">
        <v>9.6999999999999993</v>
      </c>
      <c r="AL44" s="132">
        <f t="shared" si="14"/>
        <v>26.80412371134021</v>
      </c>
    </row>
    <row r="45" spans="1:38" x14ac:dyDescent="0.35">
      <c r="A45" s="367"/>
      <c r="B45" s="201">
        <v>7</v>
      </c>
      <c r="C45" s="130">
        <v>3.6</v>
      </c>
      <c r="D45" s="130">
        <v>2.5</v>
      </c>
      <c r="E45" s="131">
        <f t="shared" si="12"/>
        <v>1.44</v>
      </c>
      <c r="F45" s="161" t="s">
        <v>100</v>
      </c>
      <c r="G45" s="162">
        <v>19.8</v>
      </c>
      <c r="H45" s="130" t="s">
        <v>98</v>
      </c>
      <c r="I45" s="162" t="s">
        <v>103</v>
      </c>
      <c r="J45" s="130">
        <v>136</v>
      </c>
      <c r="K45" s="130">
        <v>-1</v>
      </c>
      <c r="L45" s="130" t="s">
        <v>76</v>
      </c>
      <c r="M45" s="130">
        <v>3</v>
      </c>
      <c r="N45" s="130">
        <v>2.9</v>
      </c>
      <c r="O45" s="130">
        <v>3.4</v>
      </c>
      <c r="P45" s="130">
        <v>2.9</v>
      </c>
      <c r="Q45" s="130">
        <v>15</v>
      </c>
      <c r="R45" s="130">
        <v>9.3000000000000007</v>
      </c>
      <c r="S45" s="130" t="s">
        <v>85</v>
      </c>
      <c r="T45" s="133" t="s">
        <v>83</v>
      </c>
      <c r="U45" s="133" t="s">
        <v>83</v>
      </c>
      <c r="V45" s="133" t="s">
        <v>83</v>
      </c>
      <c r="W45" s="163" t="s">
        <v>100</v>
      </c>
      <c r="X45" s="164" t="s">
        <v>83</v>
      </c>
      <c r="Y45" s="161" t="s">
        <v>98</v>
      </c>
      <c r="Z45" s="164" t="s">
        <v>83</v>
      </c>
      <c r="AA45" s="163" t="s">
        <v>83</v>
      </c>
      <c r="AB45" s="164" t="s">
        <v>83</v>
      </c>
      <c r="AC45" s="133" t="s">
        <v>83</v>
      </c>
      <c r="AD45" s="133" t="s">
        <v>83</v>
      </c>
      <c r="AE45" s="133" t="s">
        <v>83</v>
      </c>
      <c r="AF45" s="133" t="s">
        <v>83</v>
      </c>
      <c r="AG45" s="133" t="s">
        <v>83</v>
      </c>
      <c r="AH45" s="130">
        <v>3.2</v>
      </c>
      <c r="AI45" s="130">
        <v>3.2</v>
      </c>
      <c r="AJ45" s="130">
        <f t="shared" si="13"/>
        <v>3.2</v>
      </c>
      <c r="AK45" s="130">
        <v>9.5</v>
      </c>
      <c r="AL45" s="132">
        <f t="shared" si="14"/>
        <v>33.684210526315788</v>
      </c>
    </row>
    <row r="46" spans="1:38" x14ac:dyDescent="0.35">
      <c r="A46" s="367"/>
      <c r="B46" s="201">
        <v>8</v>
      </c>
      <c r="C46" s="131">
        <v>4.8</v>
      </c>
      <c r="D46" s="131">
        <v>2.8</v>
      </c>
      <c r="E46" s="131">
        <f t="shared" si="12"/>
        <v>1.7142857142857144</v>
      </c>
      <c r="F46" s="161" t="s">
        <v>101</v>
      </c>
      <c r="G46" s="162">
        <v>19</v>
      </c>
      <c r="H46" s="130" t="s">
        <v>99</v>
      </c>
      <c r="I46" s="162">
        <v>39.1</v>
      </c>
      <c r="J46" s="130">
        <v>142</v>
      </c>
      <c r="K46" s="130">
        <v>-1</v>
      </c>
      <c r="L46" s="130" t="s">
        <v>76</v>
      </c>
      <c r="M46" s="130">
        <v>3</v>
      </c>
      <c r="N46" s="131">
        <v>2.5</v>
      </c>
      <c r="O46" s="131">
        <v>4.2</v>
      </c>
      <c r="P46" s="131">
        <v>2.9</v>
      </c>
      <c r="Q46" s="131">
        <v>16</v>
      </c>
      <c r="R46" s="130">
        <v>9.6999999999999993</v>
      </c>
      <c r="S46" s="130" t="s">
        <v>76</v>
      </c>
      <c r="T46" s="130">
        <v>2.8</v>
      </c>
      <c r="U46" s="131">
        <v>2.2000000000000002</v>
      </c>
      <c r="V46" s="131">
        <f>T46/U46</f>
        <v>1.2727272727272725</v>
      </c>
      <c r="W46" s="161" t="s">
        <v>101</v>
      </c>
      <c r="X46" s="162">
        <v>19.3</v>
      </c>
      <c r="Y46" s="161" t="s">
        <v>99</v>
      </c>
      <c r="Z46" s="166">
        <v>36.5</v>
      </c>
      <c r="AA46" s="163" t="s">
        <v>83</v>
      </c>
      <c r="AB46" s="164" t="s">
        <v>83</v>
      </c>
      <c r="AC46" s="130">
        <v>1</v>
      </c>
      <c r="AD46" s="130">
        <v>3</v>
      </c>
      <c r="AE46" s="131">
        <v>5</v>
      </c>
      <c r="AF46" s="133" t="s">
        <v>83</v>
      </c>
      <c r="AG46" s="131">
        <v>25.6</v>
      </c>
      <c r="AH46" s="130">
        <v>3.8</v>
      </c>
      <c r="AI46" s="130">
        <v>3.4</v>
      </c>
      <c r="AJ46" s="130">
        <f t="shared" si="13"/>
        <v>3.8</v>
      </c>
      <c r="AK46" s="130">
        <v>9.8000000000000007</v>
      </c>
      <c r="AL46" s="132">
        <f t="shared" si="14"/>
        <v>38.775510204081627</v>
      </c>
    </row>
    <row r="47" spans="1:38" x14ac:dyDescent="0.35">
      <c r="A47" s="190"/>
      <c r="B47" s="201">
        <v>9</v>
      </c>
      <c r="C47" s="133">
        <v>2.9</v>
      </c>
      <c r="D47" s="133">
        <v>3.6</v>
      </c>
      <c r="E47" s="135">
        <f t="shared" si="12"/>
        <v>0.80555555555555547</v>
      </c>
      <c r="F47" s="163" t="s">
        <v>102</v>
      </c>
      <c r="G47" s="164">
        <v>22.7</v>
      </c>
      <c r="H47" s="133" t="s">
        <v>83</v>
      </c>
      <c r="I47" s="164" t="s">
        <v>83</v>
      </c>
      <c r="J47" s="133" t="s">
        <v>83</v>
      </c>
      <c r="K47" s="130">
        <v>-1</v>
      </c>
      <c r="L47" s="130" t="s">
        <v>76</v>
      </c>
      <c r="M47" s="130">
        <v>3</v>
      </c>
      <c r="N47" s="133" t="s">
        <v>84</v>
      </c>
      <c r="O47" s="133" t="s">
        <v>84</v>
      </c>
      <c r="P47" s="133" t="s">
        <v>84</v>
      </c>
      <c r="Q47" s="133" t="s">
        <v>84</v>
      </c>
      <c r="R47" s="133" t="s">
        <v>83</v>
      </c>
      <c r="S47" s="130" t="s">
        <v>76</v>
      </c>
      <c r="T47" s="130">
        <v>2.9</v>
      </c>
      <c r="U47" s="130">
        <v>2.2999999999999998</v>
      </c>
      <c r="V47" s="131">
        <f>T47/U47</f>
        <v>1.2608695652173914</v>
      </c>
      <c r="W47" s="165" t="s">
        <v>102</v>
      </c>
      <c r="X47" s="166">
        <v>17.399999999999999</v>
      </c>
      <c r="Y47" s="163"/>
      <c r="Z47" s="164" t="s">
        <v>83</v>
      </c>
      <c r="AA47" s="163" t="s">
        <v>83</v>
      </c>
      <c r="AB47" s="164" t="s">
        <v>83</v>
      </c>
      <c r="AC47" s="130">
        <v>1</v>
      </c>
      <c r="AD47" s="130">
        <v>3</v>
      </c>
      <c r="AE47" s="130">
        <v>6.7</v>
      </c>
      <c r="AF47" s="133" t="s">
        <v>83</v>
      </c>
      <c r="AG47" s="133">
        <v>19.3</v>
      </c>
      <c r="AH47" s="133" t="s">
        <v>83</v>
      </c>
      <c r="AI47" s="133" t="s">
        <v>83</v>
      </c>
      <c r="AJ47" s="133" t="s">
        <v>83</v>
      </c>
      <c r="AK47" s="133" t="s">
        <v>83</v>
      </c>
      <c r="AL47" s="136" t="s">
        <v>83</v>
      </c>
    </row>
    <row r="48" spans="1:38" ht="15" thickBot="1" x14ac:dyDescent="0.4">
      <c r="A48" s="190"/>
      <c r="B48" s="201">
        <v>10</v>
      </c>
      <c r="C48" s="133">
        <v>3.8</v>
      </c>
      <c r="D48" s="133">
        <v>2.6</v>
      </c>
      <c r="E48" s="135">
        <f t="shared" si="12"/>
        <v>1.4615384615384615</v>
      </c>
      <c r="F48" s="163" t="s">
        <v>83</v>
      </c>
      <c r="G48" s="164" t="s">
        <v>83</v>
      </c>
      <c r="H48" s="133" t="s">
        <v>83</v>
      </c>
      <c r="I48" s="164" t="s">
        <v>83</v>
      </c>
      <c r="J48" s="133" t="s">
        <v>83</v>
      </c>
      <c r="K48" s="130">
        <v>-1</v>
      </c>
      <c r="L48" s="130" t="s">
        <v>76</v>
      </c>
      <c r="M48" s="130">
        <v>3</v>
      </c>
      <c r="N48" s="130">
        <v>2.9</v>
      </c>
      <c r="O48" s="130">
        <v>3.7</v>
      </c>
      <c r="P48" s="130">
        <v>2.9</v>
      </c>
      <c r="Q48" s="130">
        <v>15</v>
      </c>
      <c r="R48" s="133" t="s">
        <v>83</v>
      </c>
      <c r="S48" s="130" t="s">
        <v>76</v>
      </c>
      <c r="T48" s="130">
        <v>2.9</v>
      </c>
      <c r="U48" s="130">
        <v>2.2999999999999998</v>
      </c>
      <c r="V48" s="131">
        <f>T48/U48</f>
        <v>1.2608695652173914</v>
      </c>
      <c r="W48" s="167"/>
      <c r="X48" s="164" t="s">
        <v>83</v>
      </c>
      <c r="Y48" s="161"/>
      <c r="Z48" s="164" t="s">
        <v>83</v>
      </c>
      <c r="AA48" s="163" t="s">
        <v>83</v>
      </c>
      <c r="AB48" s="164" t="s">
        <v>83</v>
      </c>
      <c r="AC48" s="133">
        <v>1</v>
      </c>
      <c r="AD48" s="130">
        <v>3</v>
      </c>
      <c r="AE48" s="130">
        <v>4.3</v>
      </c>
      <c r="AF48" s="133" t="s">
        <v>83</v>
      </c>
      <c r="AG48" s="133">
        <v>14.9</v>
      </c>
      <c r="AH48" s="133" t="s">
        <v>83</v>
      </c>
      <c r="AI48" s="133" t="s">
        <v>83</v>
      </c>
      <c r="AJ48" s="133" t="s">
        <v>83</v>
      </c>
      <c r="AK48" s="133" t="s">
        <v>83</v>
      </c>
      <c r="AL48" s="136" t="s">
        <v>83</v>
      </c>
    </row>
    <row r="49" spans="1:38" ht="15" thickBot="1" x14ac:dyDescent="0.4">
      <c r="A49" s="137"/>
      <c r="B49" s="138" t="s">
        <v>5</v>
      </c>
      <c r="C49" s="139">
        <f>AVERAGE(C39:C48)</f>
        <v>3.7800000000000002</v>
      </c>
      <c r="D49" s="139">
        <f t="shared" ref="D49:AL49" si="15">AVERAGE(D39:D48)</f>
        <v>3.0700000000000003</v>
      </c>
      <c r="E49" s="139">
        <f t="shared" si="15"/>
        <v>1.2591811251410807</v>
      </c>
      <c r="F49" s="139"/>
      <c r="G49" s="139">
        <f t="shared" si="15"/>
        <v>20.633333333333333</v>
      </c>
      <c r="H49" s="139"/>
      <c r="I49" s="139">
        <f t="shared" si="15"/>
        <v>38.866666666666667</v>
      </c>
      <c r="J49" s="139">
        <f t="shared" si="15"/>
        <v>143</v>
      </c>
      <c r="K49" s="139"/>
      <c r="L49" s="139"/>
      <c r="M49" s="139"/>
      <c r="N49" s="139">
        <f t="shared" si="15"/>
        <v>2.6999999999999997</v>
      </c>
      <c r="O49" s="139">
        <f t="shared" si="15"/>
        <v>3.4999999999999991</v>
      </c>
      <c r="P49" s="139">
        <f t="shared" si="15"/>
        <v>2.9333333333333327</v>
      </c>
      <c r="Q49" s="139">
        <f t="shared" si="15"/>
        <v>21.555555555555557</v>
      </c>
      <c r="R49" s="139">
        <f>AVERAGE(R39:R46)</f>
        <v>9.0250000000000004</v>
      </c>
      <c r="S49" s="139"/>
      <c r="T49" s="139">
        <f t="shared" si="15"/>
        <v>1.9875</v>
      </c>
      <c r="U49" s="139">
        <f t="shared" si="15"/>
        <v>1.6</v>
      </c>
      <c r="V49" s="139">
        <f t="shared" si="15"/>
        <v>1.2456224029593594</v>
      </c>
      <c r="W49" s="139"/>
      <c r="X49" s="139">
        <f t="shared" si="15"/>
        <v>18.339999999999996</v>
      </c>
      <c r="Y49" s="139"/>
      <c r="Z49" s="139">
        <f t="shared" si="15"/>
        <v>37.979999999999997</v>
      </c>
      <c r="AA49" s="139"/>
      <c r="AB49" s="139">
        <f t="shared" si="15"/>
        <v>181.33333333333334</v>
      </c>
      <c r="AC49" s="139">
        <f t="shared" si="15"/>
        <v>1</v>
      </c>
      <c r="AD49" s="139">
        <f t="shared" si="15"/>
        <v>3</v>
      </c>
      <c r="AE49" s="139">
        <f t="shared" si="15"/>
        <v>5.35</v>
      </c>
      <c r="AF49" s="139">
        <f t="shared" si="15"/>
        <v>3.4</v>
      </c>
      <c r="AG49" s="139">
        <f t="shared" si="15"/>
        <v>19.933333333333334</v>
      </c>
      <c r="AH49" s="139">
        <f t="shared" si="15"/>
        <v>3.5874999999999999</v>
      </c>
      <c r="AI49" s="139">
        <f t="shared" si="15"/>
        <v>3.1624999999999996</v>
      </c>
      <c r="AJ49" s="139">
        <f t="shared" si="15"/>
        <v>3.5874999999999999</v>
      </c>
      <c r="AK49" s="139">
        <f t="shared" si="15"/>
        <v>9.1749999999999989</v>
      </c>
      <c r="AL49" s="140">
        <f t="shared" si="15"/>
        <v>41.975705574385827</v>
      </c>
    </row>
    <row r="50" spans="1:38" ht="36" customHeight="1" thickBot="1" x14ac:dyDescent="0.4">
      <c r="A50" s="193" t="s">
        <v>58</v>
      </c>
      <c r="B50" s="291" t="s">
        <v>59</v>
      </c>
      <c r="C50" s="193" t="s">
        <v>60</v>
      </c>
      <c r="D50" s="194" t="s">
        <v>61</v>
      </c>
      <c r="E50" s="194" t="s">
        <v>62</v>
      </c>
      <c r="F50" s="350" t="s">
        <v>71</v>
      </c>
      <c r="G50" s="351"/>
      <c r="H50" s="352" t="s">
        <v>72</v>
      </c>
      <c r="I50" s="351"/>
      <c r="J50" s="292" t="s">
        <v>131</v>
      </c>
      <c r="K50" s="194" t="s">
        <v>65</v>
      </c>
      <c r="L50" s="194" t="s">
        <v>63</v>
      </c>
      <c r="M50" s="194" t="s">
        <v>64</v>
      </c>
      <c r="N50" s="195" t="s">
        <v>92</v>
      </c>
      <c r="O50" s="195" t="s">
        <v>93</v>
      </c>
      <c r="P50" s="195" t="s">
        <v>94</v>
      </c>
      <c r="Q50" s="195" t="s">
        <v>95</v>
      </c>
      <c r="R50" s="192" t="s">
        <v>132</v>
      </c>
      <c r="S50" s="194" t="s">
        <v>66</v>
      </c>
      <c r="T50" s="194" t="s">
        <v>67</v>
      </c>
      <c r="U50" s="194" t="s">
        <v>68</v>
      </c>
      <c r="V50" s="194" t="s">
        <v>122</v>
      </c>
      <c r="W50" s="350" t="s">
        <v>73</v>
      </c>
      <c r="X50" s="351"/>
      <c r="Y50" s="353" t="s">
        <v>74</v>
      </c>
      <c r="Z50" s="354"/>
      <c r="AA50" s="355" t="s">
        <v>133</v>
      </c>
      <c r="AB50" s="356"/>
      <c r="AC50" s="195" t="s">
        <v>70</v>
      </c>
      <c r="AD50" s="195" t="s">
        <v>69</v>
      </c>
      <c r="AE50" s="195" t="s">
        <v>75</v>
      </c>
      <c r="AF50" s="192" t="s">
        <v>134</v>
      </c>
      <c r="AG50" s="195" t="s">
        <v>96</v>
      </c>
      <c r="AH50" s="196" t="s">
        <v>109</v>
      </c>
      <c r="AI50" s="196" t="s">
        <v>118</v>
      </c>
      <c r="AJ50" s="196" t="s">
        <v>119</v>
      </c>
      <c r="AK50" s="196" t="s">
        <v>110</v>
      </c>
      <c r="AL50" s="197" t="s">
        <v>111</v>
      </c>
    </row>
  </sheetData>
  <mergeCells count="16">
    <mergeCell ref="A33:A37"/>
    <mergeCell ref="A9:A16"/>
    <mergeCell ref="A17:A20"/>
    <mergeCell ref="A29:A32"/>
    <mergeCell ref="A39:A46"/>
    <mergeCell ref="AA38:AB38"/>
    <mergeCell ref="F8:G8"/>
    <mergeCell ref="H8:I8"/>
    <mergeCell ref="AA8:AB8"/>
    <mergeCell ref="W8:X8"/>
    <mergeCell ref="Y8:Z8"/>
    <mergeCell ref="F50:G50"/>
    <mergeCell ref="H50:I50"/>
    <mergeCell ref="W50:X50"/>
    <mergeCell ref="Y50:Z50"/>
    <mergeCell ref="AA50:AB5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33"/>
  <sheetViews>
    <sheetView tabSelected="1" workbookViewId="0">
      <selection activeCell="G7" sqref="G7"/>
    </sheetView>
  </sheetViews>
  <sheetFormatPr defaultRowHeight="14.5" x14ac:dyDescent="0.35"/>
  <cols>
    <col min="1" max="1" width="11.90625" customWidth="1"/>
    <col min="2" max="2" width="10.36328125" customWidth="1"/>
    <col min="3" max="3" width="10.90625" bestFit="1" customWidth="1"/>
    <col min="5" max="5" width="9.54296875" bestFit="1" customWidth="1"/>
    <col min="11" max="11" width="59.90625" bestFit="1" customWidth="1"/>
  </cols>
  <sheetData>
    <row r="3" spans="1:11" ht="53" customHeight="1" thickBot="1" x14ac:dyDescent="0.4"/>
    <row r="4" spans="1:11" ht="15.5" x14ac:dyDescent="0.35">
      <c r="A4" s="382" t="s">
        <v>142</v>
      </c>
      <c r="B4" s="375" t="s">
        <v>21</v>
      </c>
      <c r="C4" s="377" t="s">
        <v>8</v>
      </c>
      <c r="D4" s="379" t="s">
        <v>23</v>
      </c>
      <c r="E4" s="368" t="s">
        <v>22</v>
      </c>
      <c r="F4" s="369"/>
      <c r="G4" s="370"/>
      <c r="H4" s="368" t="s">
        <v>24</v>
      </c>
      <c r="I4" s="369"/>
      <c r="J4" s="370"/>
    </row>
    <row r="5" spans="1:11" ht="16" thickBot="1" x14ac:dyDescent="0.4">
      <c r="A5" s="382"/>
      <c r="B5" s="376"/>
      <c r="C5" s="378"/>
      <c r="D5" s="380"/>
      <c r="E5" s="77" t="s">
        <v>150</v>
      </c>
      <c r="F5" s="78" t="s">
        <v>18</v>
      </c>
      <c r="G5" s="79" t="s">
        <v>25</v>
      </c>
      <c r="H5" s="77" t="s">
        <v>150</v>
      </c>
      <c r="I5" s="78" t="s">
        <v>18</v>
      </c>
      <c r="J5" s="79" t="s">
        <v>25</v>
      </c>
      <c r="K5" s="1"/>
    </row>
    <row r="6" spans="1:11" ht="18.5" x14ac:dyDescent="0.45">
      <c r="A6" s="382"/>
      <c r="B6" s="371" t="s">
        <v>6</v>
      </c>
      <c r="C6" s="372"/>
      <c r="D6" s="372"/>
      <c r="E6" s="372"/>
      <c r="F6" s="372"/>
      <c r="G6" s="372"/>
      <c r="H6" s="372"/>
      <c r="I6" s="372"/>
      <c r="J6" s="381"/>
      <c r="K6" s="1"/>
    </row>
    <row r="7" spans="1:11" x14ac:dyDescent="0.35">
      <c r="A7" s="382"/>
      <c r="B7" s="13" t="s">
        <v>13</v>
      </c>
      <c r="C7" s="3">
        <v>4.3</v>
      </c>
      <c r="D7" s="4">
        <v>55</v>
      </c>
      <c r="E7" s="5">
        <v>19</v>
      </c>
      <c r="F7" s="14">
        <v>2.9184492825132828</v>
      </c>
      <c r="G7" s="21">
        <v>2.5</v>
      </c>
      <c r="H7" s="14">
        <v>20.639999999999997</v>
      </c>
      <c r="I7" s="5">
        <v>2.6647286821705429</v>
      </c>
      <c r="J7" s="20">
        <v>2.0895509675463586</v>
      </c>
      <c r="K7" s="1"/>
    </row>
    <row r="8" spans="1:11" x14ac:dyDescent="0.35">
      <c r="A8" s="382"/>
      <c r="B8" s="2" t="s">
        <v>14</v>
      </c>
      <c r="C8" s="3">
        <v>4.2</v>
      </c>
      <c r="D8" s="4">
        <v>50</v>
      </c>
      <c r="E8" s="5">
        <v>18</v>
      </c>
      <c r="F8" s="14">
        <v>2.7214237067777844</v>
      </c>
      <c r="G8" s="5">
        <v>2</v>
      </c>
      <c r="H8" s="14">
        <v>20.16</v>
      </c>
      <c r="I8" s="5">
        <v>2.4801587301587302</v>
      </c>
      <c r="J8" s="20">
        <v>1.8610808528430414</v>
      </c>
      <c r="K8" s="1"/>
    </row>
    <row r="9" spans="1:11" x14ac:dyDescent="0.35">
      <c r="A9" s="382"/>
      <c r="B9" s="2" t="s">
        <v>15</v>
      </c>
      <c r="C9" s="5">
        <v>4.25</v>
      </c>
      <c r="D9" s="4">
        <v>56</v>
      </c>
      <c r="E9" s="5">
        <v>19</v>
      </c>
      <c r="F9" s="14">
        <v>3.00928538221903</v>
      </c>
      <c r="G9" s="5">
        <v>2.6</v>
      </c>
      <c r="H9" s="14">
        <v>20.399999999999999</v>
      </c>
      <c r="I9" s="5">
        <v>2.7450980392156863</v>
      </c>
      <c r="J9" s="20">
        <v>2.1689025560328368</v>
      </c>
      <c r="K9" s="1"/>
    </row>
    <row r="10" spans="1:11" x14ac:dyDescent="0.35">
      <c r="A10" s="382"/>
      <c r="B10" s="2" t="s">
        <v>19</v>
      </c>
      <c r="C10" s="3">
        <v>4.2</v>
      </c>
      <c r="D10" s="4">
        <v>64</v>
      </c>
      <c r="E10" s="5">
        <v>18</v>
      </c>
      <c r="F10" s="14">
        <v>3.4834223446755641</v>
      </c>
      <c r="G10" s="5">
        <v>3.1</v>
      </c>
      <c r="H10" s="14">
        <v>20.16</v>
      </c>
      <c r="I10" s="5">
        <v>3.1746031746031744</v>
      </c>
      <c r="J10" s="20">
        <v>2.9073241257340552</v>
      </c>
      <c r="K10" s="1"/>
    </row>
    <row r="11" spans="1:11" ht="15" thickBot="1" x14ac:dyDescent="0.4">
      <c r="A11" s="382"/>
      <c r="B11" s="15" t="s">
        <v>20</v>
      </c>
      <c r="C11" s="16">
        <v>4.5999999999999996</v>
      </c>
      <c r="D11" s="17">
        <v>64</v>
      </c>
      <c r="E11" s="19">
        <v>20</v>
      </c>
      <c r="F11" s="18">
        <v>3.157453102654094</v>
      </c>
      <c r="G11" s="19">
        <v>2.9</v>
      </c>
      <c r="H11" s="18">
        <v>22.08</v>
      </c>
      <c r="I11" s="19">
        <v>2.8985507246376816</v>
      </c>
      <c r="J11" s="29">
        <v>2.7081754073665105</v>
      </c>
      <c r="K11" s="1"/>
    </row>
    <row r="12" spans="1:11" ht="15" thickBot="1" x14ac:dyDescent="0.4">
      <c r="A12" s="382"/>
      <c r="B12" s="48" t="s">
        <v>5</v>
      </c>
      <c r="C12" s="49">
        <f>AVERAGE(C7:C11)</f>
        <v>4.3099999999999996</v>
      </c>
      <c r="D12" s="49">
        <f t="shared" ref="D12:J12" si="0">AVERAGE(D7:D11)</f>
        <v>57.8</v>
      </c>
      <c r="E12" s="49">
        <f t="shared" si="0"/>
        <v>18.8</v>
      </c>
      <c r="F12" s="49">
        <f t="shared" si="0"/>
        <v>3.0580067637679509</v>
      </c>
      <c r="G12" s="49">
        <f t="shared" si="0"/>
        <v>2.62</v>
      </c>
      <c r="H12" s="49">
        <f t="shared" si="0"/>
        <v>20.687999999999999</v>
      </c>
      <c r="I12" s="49">
        <f t="shared" si="0"/>
        <v>2.7926278701571632</v>
      </c>
      <c r="J12" s="50">
        <f t="shared" si="0"/>
        <v>2.3470067819045606</v>
      </c>
      <c r="K12" s="1"/>
    </row>
    <row r="13" spans="1:11" ht="18.5" x14ac:dyDescent="0.45">
      <c r="A13" s="382"/>
      <c r="B13" s="371" t="s">
        <v>55</v>
      </c>
      <c r="C13" s="372"/>
      <c r="D13" s="372"/>
      <c r="E13" s="373"/>
      <c r="F13" s="373"/>
      <c r="G13" s="373"/>
      <c r="H13" s="373"/>
      <c r="I13" s="373"/>
      <c r="J13" s="374"/>
      <c r="K13" s="1"/>
    </row>
    <row r="14" spans="1:11" x14ac:dyDescent="0.35">
      <c r="A14" s="382"/>
      <c r="B14" s="13" t="s">
        <v>13</v>
      </c>
      <c r="C14" s="5">
        <f>(12.5+14.2)/2</f>
        <v>13.35</v>
      </c>
      <c r="D14" s="4">
        <v>140</v>
      </c>
      <c r="E14" s="5">
        <v>58.71783975341345</v>
      </c>
      <c r="F14" s="14">
        <v>2.3842839005646725</v>
      </c>
      <c r="G14" s="5">
        <v>3.0000412533595311</v>
      </c>
      <c r="H14" s="14">
        <v>60.074999999999996</v>
      </c>
      <c r="I14" s="5">
        <v>2.3304203079483981</v>
      </c>
      <c r="J14" s="20">
        <v>2.9358864783551493</v>
      </c>
      <c r="K14" s="1"/>
    </row>
    <row r="15" spans="1:11" x14ac:dyDescent="0.35">
      <c r="A15" s="382"/>
      <c r="B15" s="2" t="s">
        <v>14</v>
      </c>
      <c r="C15" s="3">
        <f>(14.2+14.2)/2</f>
        <v>14.2</v>
      </c>
      <c r="D15" s="4">
        <v>142</v>
      </c>
      <c r="E15" s="5">
        <v>62.998489859273548</v>
      </c>
      <c r="F15" s="14">
        <v>2.2540222839817359</v>
      </c>
      <c r="G15" s="5">
        <v>2.8651012575298589</v>
      </c>
      <c r="H15" s="14">
        <v>63.9</v>
      </c>
      <c r="I15" s="5">
        <v>2.2222222222222223</v>
      </c>
      <c r="J15" s="20">
        <v>2.8269248989138243</v>
      </c>
      <c r="K15" s="1"/>
    </row>
    <row r="16" spans="1:11" ht="15" thickBot="1" x14ac:dyDescent="0.4">
      <c r="A16" s="382"/>
      <c r="B16" s="2" t="s">
        <v>15</v>
      </c>
      <c r="C16" s="3">
        <f>(14.2+13)/2</f>
        <v>13.6</v>
      </c>
      <c r="D16" s="4">
        <v>148</v>
      </c>
      <c r="E16" s="5">
        <v>59.973001124401478</v>
      </c>
      <c r="F16" s="14">
        <v>2.4677771201245187</v>
      </c>
      <c r="G16" s="5">
        <v>3.1867719193888417</v>
      </c>
      <c r="H16" s="14">
        <v>61.199999999999996</v>
      </c>
      <c r="I16" s="5">
        <v>2.4183006535947715</v>
      </c>
      <c r="J16" s="20">
        <v>3.1262124608300184</v>
      </c>
      <c r="K16" s="1"/>
    </row>
    <row r="17" spans="1:11" ht="15" thickBot="1" x14ac:dyDescent="0.4">
      <c r="A17" s="382"/>
      <c r="B17" s="48" t="s">
        <v>5</v>
      </c>
      <c r="C17" s="49">
        <f>AVERAGE(C14:C16)</f>
        <v>13.716666666666667</v>
      </c>
      <c r="D17" s="49">
        <f t="shared" ref="D17:J17" si="1">AVERAGE(D14:D16)</f>
        <v>143.33333333333334</v>
      </c>
      <c r="E17" s="49">
        <f t="shared" si="1"/>
        <v>60.563110245696159</v>
      </c>
      <c r="F17" s="49">
        <f t="shared" si="1"/>
        <v>2.3686944348903087</v>
      </c>
      <c r="G17" s="49">
        <f t="shared" si="1"/>
        <v>3.0173048100927438</v>
      </c>
      <c r="H17" s="49">
        <f t="shared" si="1"/>
        <v>61.724999999999994</v>
      </c>
      <c r="I17" s="49">
        <f t="shared" si="1"/>
        <v>2.3236477279217973</v>
      </c>
      <c r="J17" s="50">
        <f t="shared" si="1"/>
        <v>2.9630079460329974</v>
      </c>
      <c r="K17" s="1"/>
    </row>
    <row r="18" spans="1:11" ht="15" thickBo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5" x14ac:dyDescent="0.35">
      <c r="A19" s="383" t="s">
        <v>121</v>
      </c>
      <c r="B19" s="375" t="s">
        <v>21</v>
      </c>
      <c r="C19" s="377" t="s">
        <v>8</v>
      </c>
      <c r="D19" s="379" t="s">
        <v>23</v>
      </c>
      <c r="E19" s="368" t="s">
        <v>22</v>
      </c>
      <c r="F19" s="369"/>
      <c r="G19" s="370"/>
      <c r="H19" s="368" t="s">
        <v>24</v>
      </c>
      <c r="I19" s="369"/>
      <c r="J19" s="370"/>
      <c r="K19" s="1"/>
    </row>
    <row r="20" spans="1:11" ht="16" thickBot="1" x14ac:dyDescent="0.4">
      <c r="A20" s="383"/>
      <c r="B20" s="376"/>
      <c r="C20" s="378"/>
      <c r="D20" s="380"/>
      <c r="E20" s="77" t="s">
        <v>150</v>
      </c>
      <c r="F20" s="78" t="s">
        <v>18</v>
      </c>
      <c r="G20" s="79" t="s">
        <v>25</v>
      </c>
      <c r="H20" s="77" t="s">
        <v>150</v>
      </c>
      <c r="I20" s="78" t="s">
        <v>18</v>
      </c>
      <c r="J20" s="79" t="s">
        <v>25</v>
      </c>
      <c r="K20" s="1"/>
    </row>
    <row r="21" spans="1:11" x14ac:dyDescent="0.35">
      <c r="A21" s="383"/>
      <c r="B21" s="71" t="s">
        <v>13</v>
      </c>
      <c r="C21" s="52">
        <v>3.95</v>
      </c>
      <c r="D21" s="51">
        <v>38.200000000000003</v>
      </c>
      <c r="E21" s="52">
        <v>17.194496786703091</v>
      </c>
      <c r="F21" s="52">
        <v>2.2216410560814412</v>
      </c>
      <c r="G21" s="52">
        <v>1.4658670011413155</v>
      </c>
      <c r="H21" s="151">
        <v>18.96</v>
      </c>
      <c r="I21" s="52">
        <v>2.0147679324894514</v>
      </c>
      <c r="J21" s="74">
        <v>1.3369260460957348</v>
      </c>
      <c r="K21" s="1"/>
    </row>
    <row r="22" spans="1:11" x14ac:dyDescent="0.35">
      <c r="A22" s="383"/>
      <c r="B22" s="71" t="s">
        <v>14</v>
      </c>
      <c r="C22" s="52">
        <v>4.05</v>
      </c>
      <c r="D22" s="51">
        <v>39.299999999999997</v>
      </c>
      <c r="E22" s="52">
        <v>17.665097227233694</v>
      </c>
      <c r="F22" s="52">
        <v>2.2247259380725337</v>
      </c>
      <c r="G22" s="52">
        <v>1.4887711522716303</v>
      </c>
      <c r="H22" s="151">
        <v>19.439999999999998</v>
      </c>
      <c r="I22" s="52">
        <v>2.0216049382716048</v>
      </c>
      <c r="J22" s="74">
        <v>1.3603647066379101</v>
      </c>
      <c r="K22" s="1"/>
    </row>
    <row r="23" spans="1:11" x14ac:dyDescent="0.35">
      <c r="A23" s="383"/>
      <c r="B23" s="71" t="s">
        <v>15</v>
      </c>
      <c r="C23" s="52">
        <v>3.9000000000000004</v>
      </c>
      <c r="D23" s="51">
        <v>40.4</v>
      </c>
      <c r="E23" s="52">
        <v>16.959552264594741</v>
      </c>
      <c r="F23" s="52">
        <v>2.382138358943604</v>
      </c>
      <c r="G23" s="52">
        <v>1.6102149544229425</v>
      </c>
      <c r="H23" s="151">
        <v>18.720000000000002</v>
      </c>
      <c r="I23" s="52">
        <v>2.1581196581196576</v>
      </c>
      <c r="J23" s="74">
        <v>1.4667962762566411</v>
      </c>
      <c r="K23" s="1"/>
    </row>
    <row r="24" spans="1:11" x14ac:dyDescent="0.35">
      <c r="A24" s="383"/>
      <c r="B24" s="71" t="s">
        <v>19</v>
      </c>
      <c r="C24" s="52">
        <v>3.7</v>
      </c>
      <c r="D24" s="51">
        <v>41.8</v>
      </c>
      <c r="E24" s="52">
        <v>16.022211821290522</v>
      </c>
      <c r="F24" s="52">
        <v>2.6088782539034727</v>
      </c>
      <c r="G24" s="52">
        <v>1.7853310805824341</v>
      </c>
      <c r="H24" s="151">
        <v>17.760000000000002</v>
      </c>
      <c r="I24" s="52">
        <v>2.3536036036036032</v>
      </c>
      <c r="J24" s="74">
        <v>1.6193074769348006</v>
      </c>
      <c r="K24" s="1"/>
    </row>
    <row r="25" spans="1:11" x14ac:dyDescent="0.35">
      <c r="A25" s="383"/>
      <c r="B25" s="71" t="s">
        <v>20</v>
      </c>
      <c r="C25" s="52">
        <v>3.6</v>
      </c>
      <c r="D25" s="51">
        <v>42.8</v>
      </c>
      <c r="E25" s="52">
        <v>15.555046289960515</v>
      </c>
      <c r="F25" s="52">
        <v>2.751518652028945</v>
      </c>
      <c r="G25" s="52">
        <v>1.9003498220016286</v>
      </c>
      <c r="H25" s="151">
        <v>17.28</v>
      </c>
      <c r="I25" s="52">
        <v>2.4768518518518516</v>
      </c>
      <c r="J25" s="74">
        <v>1.7197007351818434</v>
      </c>
      <c r="K25" s="1"/>
    </row>
    <row r="26" spans="1:11" x14ac:dyDescent="0.35">
      <c r="A26" s="383"/>
      <c r="B26" s="71" t="s">
        <v>97</v>
      </c>
      <c r="C26" s="52">
        <v>3.95</v>
      </c>
      <c r="D26" s="51">
        <v>34.5</v>
      </c>
      <c r="E26" s="52">
        <v>17.194496786703091</v>
      </c>
      <c r="F26" s="52">
        <v>2.0064559276128198</v>
      </c>
      <c r="G26" s="52">
        <v>1.265602539845756</v>
      </c>
      <c r="H26" s="151">
        <v>18.96</v>
      </c>
      <c r="I26" s="52">
        <v>1.8196202531645569</v>
      </c>
      <c r="J26" s="74">
        <v>0.92653440694485978</v>
      </c>
      <c r="K26" s="1"/>
    </row>
    <row r="27" spans="1:11" x14ac:dyDescent="0.35">
      <c r="A27" s="383"/>
      <c r="B27" s="71" t="s">
        <v>98</v>
      </c>
      <c r="C27" s="52">
        <v>3.25</v>
      </c>
      <c r="D27" s="51">
        <v>35.299999999999997</v>
      </c>
      <c r="E27" s="52">
        <v>13.928316819901216</v>
      </c>
      <c r="F27" s="52">
        <v>2.5344053022661179</v>
      </c>
      <c r="G27" s="52">
        <v>1.596167570655965</v>
      </c>
      <c r="H27" s="151">
        <v>15.6</v>
      </c>
      <c r="I27" s="52">
        <v>2.2628205128205128</v>
      </c>
      <c r="J27" s="74">
        <v>1.4337750821320343</v>
      </c>
      <c r="K27" s="1"/>
    </row>
    <row r="28" spans="1:11" ht="15" thickBot="1" x14ac:dyDescent="0.4">
      <c r="A28" s="383"/>
      <c r="B28" s="71" t="s">
        <v>99</v>
      </c>
      <c r="C28" s="52">
        <v>4.3</v>
      </c>
      <c r="D28" s="51">
        <v>39.1</v>
      </c>
      <c r="E28" s="52">
        <v>18.845624739668462</v>
      </c>
      <c r="F28" s="52">
        <v>2.0747521262958069</v>
      </c>
      <c r="G28" s="52">
        <v>1.390433743508185</v>
      </c>
      <c r="H28" s="151">
        <v>20.639999999999997</v>
      </c>
      <c r="I28" s="52">
        <v>1.8943798449612406</v>
      </c>
      <c r="J28" s="74">
        <v>1.0339495688583844</v>
      </c>
      <c r="K28" s="1"/>
    </row>
    <row r="29" spans="1:11" ht="15" thickBot="1" x14ac:dyDescent="0.4">
      <c r="A29" s="383"/>
      <c r="B29" s="75" t="s">
        <v>5</v>
      </c>
      <c r="C29" s="73">
        <f>AVERAGE(C21:C28)</f>
        <v>3.8375000000000004</v>
      </c>
      <c r="D29" s="73">
        <f t="shared" ref="D29:J29" si="2">AVERAGE(D21:D28)</f>
        <v>38.925000000000004</v>
      </c>
      <c r="E29" s="73">
        <f t="shared" si="2"/>
        <v>16.670605342006915</v>
      </c>
      <c r="F29" s="73">
        <f t="shared" si="2"/>
        <v>2.3505644519005924</v>
      </c>
      <c r="G29" s="73">
        <f t="shared" si="2"/>
        <v>1.5628422330537319</v>
      </c>
      <c r="H29" s="73">
        <f t="shared" si="2"/>
        <v>18.419999999999998</v>
      </c>
      <c r="I29" s="73">
        <f t="shared" si="2"/>
        <v>2.1252210744103097</v>
      </c>
      <c r="J29" s="76">
        <f t="shared" si="2"/>
        <v>1.362169287380276</v>
      </c>
      <c r="K29" s="1"/>
    </row>
    <row r="30" spans="1:1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35">
      <c r="A31" s="1"/>
    </row>
    <row r="32" spans="1:11" x14ac:dyDescent="0.35">
      <c r="A32" s="1"/>
    </row>
    <row r="33" spans="1:1" x14ac:dyDescent="0.35">
      <c r="A33" s="1"/>
    </row>
  </sheetData>
  <mergeCells count="14">
    <mergeCell ref="E19:G19"/>
    <mergeCell ref="H19:J19"/>
    <mergeCell ref="A4:A17"/>
    <mergeCell ref="A19:A29"/>
    <mergeCell ref="B19:B20"/>
    <mergeCell ref="C19:C20"/>
    <mergeCell ref="D19:D20"/>
    <mergeCell ref="E4:G4"/>
    <mergeCell ref="H4:J4"/>
    <mergeCell ref="B13:J13"/>
    <mergeCell ref="B4:B5"/>
    <mergeCell ref="C4:C5"/>
    <mergeCell ref="D4:D5"/>
    <mergeCell ref="B6:J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1"/>
  <sheetViews>
    <sheetView zoomScale="96" zoomScaleNormal="96" workbookViewId="0"/>
  </sheetViews>
  <sheetFormatPr defaultRowHeight="14.5" x14ac:dyDescent="0.35"/>
  <cols>
    <col min="1" max="1" width="13.08984375" customWidth="1"/>
    <col min="3" max="3" width="13.08984375" customWidth="1"/>
    <col min="4" max="4" width="12.1796875" bestFit="1" customWidth="1"/>
    <col min="5" max="5" width="15.6328125" bestFit="1" customWidth="1"/>
    <col min="7" max="7" width="11.90625" bestFit="1" customWidth="1"/>
    <col min="12" max="12" width="10" bestFit="1" customWidth="1"/>
    <col min="13" max="13" width="10.54296875" bestFit="1" customWidth="1"/>
    <col min="20" max="20" width="15.6328125" bestFit="1" customWidth="1"/>
    <col min="28" max="28" width="11.36328125" bestFit="1" customWidth="1"/>
    <col min="29" max="29" width="9.54296875" bestFit="1" customWidth="1"/>
  </cols>
  <sheetData>
    <row r="1" spans="1:29" x14ac:dyDescent="0.35">
      <c r="C1" s="1"/>
      <c r="D1" s="22" t="s">
        <v>44</v>
      </c>
      <c r="F1" s="26" t="s">
        <v>45</v>
      </c>
      <c r="H1" s="323" t="s">
        <v>46</v>
      </c>
    </row>
    <row r="2" spans="1:29" ht="15" thickBot="1" x14ac:dyDescent="0.4">
      <c r="G2" t="s">
        <v>16</v>
      </c>
      <c r="H2" t="s">
        <v>17</v>
      </c>
      <c r="J2" t="s">
        <v>16</v>
      </c>
      <c r="K2" t="s">
        <v>17</v>
      </c>
      <c r="L2" s="22" t="s">
        <v>27</v>
      </c>
      <c r="M2" s="22" t="s">
        <v>28</v>
      </c>
      <c r="N2" s="22" t="s">
        <v>34</v>
      </c>
      <c r="O2" s="22" t="s">
        <v>31</v>
      </c>
      <c r="P2" s="22" t="s">
        <v>35</v>
      </c>
      <c r="Q2" s="22" t="s">
        <v>31</v>
      </c>
      <c r="R2" s="27" t="s">
        <v>40</v>
      </c>
      <c r="S2" s="27"/>
      <c r="T2" s="27" t="s">
        <v>28</v>
      </c>
      <c r="U2" s="27" t="s">
        <v>41</v>
      </c>
      <c r="V2" s="27" t="s">
        <v>25</v>
      </c>
      <c r="W2" s="27" t="s">
        <v>17</v>
      </c>
      <c r="X2" s="27"/>
      <c r="Y2" s="27"/>
      <c r="Z2" s="27"/>
      <c r="AA2" s="27" t="s">
        <v>25</v>
      </c>
      <c r="AB2" s="25" t="s">
        <v>47</v>
      </c>
      <c r="AC2" s="25"/>
    </row>
    <row r="3" spans="1:29" s="318" customFormat="1" ht="16" thickBot="1" x14ac:dyDescent="0.4">
      <c r="A3" s="317" t="s">
        <v>58</v>
      </c>
      <c r="B3" s="318" t="s">
        <v>148</v>
      </c>
      <c r="C3" s="318" t="s">
        <v>8</v>
      </c>
      <c r="D3" s="319" t="s">
        <v>10</v>
      </c>
      <c r="E3" s="319" t="s">
        <v>11</v>
      </c>
      <c r="F3" s="318" t="s">
        <v>9</v>
      </c>
      <c r="G3" s="318" t="s">
        <v>12</v>
      </c>
      <c r="H3" s="318" t="s">
        <v>18</v>
      </c>
      <c r="I3" s="318" t="s">
        <v>32</v>
      </c>
      <c r="J3" s="318" t="s">
        <v>33</v>
      </c>
      <c r="K3" s="318" t="s">
        <v>33</v>
      </c>
      <c r="L3" s="320" t="s">
        <v>26</v>
      </c>
      <c r="M3" s="320" t="s">
        <v>29</v>
      </c>
      <c r="N3" s="320" t="s">
        <v>30</v>
      </c>
      <c r="O3" s="320" t="s">
        <v>25</v>
      </c>
      <c r="P3" s="320" t="s">
        <v>36</v>
      </c>
      <c r="Q3" s="320" t="s">
        <v>25</v>
      </c>
      <c r="R3" s="321" t="s">
        <v>37</v>
      </c>
      <c r="S3" s="321" t="s">
        <v>38</v>
      </c>
      <c r="T3" s="321" t="s">
        <v>39</v>
      </c>
      <c r="U3" s="321"/>
      <c r="V3" s="321" t="s">
        <v>42</v>
      </c>
      <c r="W3" s="321" t="s">
        <v>37</v>
      </c>
      <c r="X3" s="321" t="s">
        <v>38</v>
      </c>
      <c r="Y3" s="321" t="s">
        <v>28</v>
      </c>
      <c r="Z3" s="321" t="s">
        <v>43</v>
      </c>
      <c r="AA3" s="321" t="s">
        <v>42</v>
      </c>
      <c r="AB3" s="322" t="s">
        <v>16</v>
      </c>
      <c r="AC3" s="322" t="s">
        <v>17</v>
      </c>
    </row>
    <row r="4" spans="1:29" x14ac:dyDescent="0.35">
      <c r="A4" s="384" t="s">
        <v>49</v>
      </c>
      <c r="B4" s="9" t="s">
        <v>13</v>
      </c>
      <c r="C4">
        <v>4.3</v>
      </c>
      <c r="D4">
        <f>3.9*(C4^1.08)</f>
        <v>18.845624739668462</v>
      </c>
      <c r="E4">
        <f>4.8*C4</f>
        <v>20.639999999999997</v>
      </c>
      <c r="F4">
        <v>55</v>
      </c>
      <c r="G4" s="40">
        <f>F4/D4</f>
        <v>2.9184492825132828</v>
      </c>
      <c r="H4" s="39">
        <f>F4/E4</f>
        <v>2.6647286821705429</v>
      </c>
      <c r="I4" s="11">
        <f>F4/100</f>
        <v>0.55000000000000004</v>
      </c>
      <c r="J4" s="10">
        <f>D4/100</f>
        <v>0.18845624739668462</v>
      </c>
      <c r="K4" s="10">
        <f>E4/100</f>
        <v>0.20639999999999997</v>
      </c>
      <c r="L4" s="22">
        <f>0.25*(9.81^0.5)</f>
        <v>0.7830229881682913</v>
      </c>
      <c r="M4" s="24">
        <f>I4^1.67</f>
        <v>0.36847301797735843</v>
      </c>
      <c r="N4" s="22">
        <f>J4^(-1.17)</f>
        <v>7.0469902287029491</v>
      </c>
      <c r="O4" s="22">
        <f>L4*M4*N4</f>
        <v>2.0332176595787401</v>
      </c>
      <c r="P4" s="22">
        <f>K4^(-1.17)</f>
        <v>6.3356278506131476</v>
      </c>
      <c r="Q4" s="22">
        <f>L4*M4*P4</f>
        <v>1.8279733634250437</v>
      </c>
      <c r="R4" s="27">
        <f t="shared" ref="R4:R8" si="0">9.81*J4</f>
        <v>1.8487557869614764</v>
      </c>
      <c r="S4" s="27">
        <f t="shared" ref="S4:S8" si="1">1.8*J4</f>
        <v>0.3392212453140323</v>
      </c>
      <c r="T4" s="27">
        <f t="shared" ref="T4:T8" si="2">(I4/S4)^2.56</f>
        <v>3.4458144832197948</v>
      </c>
      <c r="U4" s="27">
        <f t="shared" ref="U4:U8" si="3">R4*T4</f>
        <v>6.3704694666482649</v>
      </c>
      <c r="V4" s="27">
        <f t="shared" ref="V4:V8" si="4">U4^0.5</f>
        <v>2.5239788958405072</v>
      </c>
      <c r="W4" s="27">
        <f t="shared" ref="W4:W8" si="5">9.81*K4</f>
        <v>2.0247839999999999</v>
      </c>
      <c r="X4" s="27">
        <f t="shared" ref="X4:X8" si="6">1.8*K4</f>
        <v>0.37151999999999996</v>
      </c>
      <c r="Y4" s="27">
        <f t="shared" ref="Y4:Y8" si="7">(I4/X4)^2.56</f>
        <v>2.7300717313610123</v>
      </c>
      <c r="Z4" s="27">
        <f t="shared" ref="Z4:Z8" si="8">W4*Y4</f>
        <v>5.5278055605120757</v>
      </c>
      <c r="AA4" s="27">
        <f t="shared" ref="AA4:AA8" si="9">Z4^0.5</f>
        <v>2.3511285716676738</v>
      </c>
      <c r="AB4" s="28">
        <f t="shared" ref="AB4:AB8" si="10">(O4+V4)/2</f>
        <v>2.2785982777096239</v>
      </c>
      <c r="AC4" s="28">
        <f t="shared" ref="AC4:AC8" si="11">(Q4+AA4)/2</f>
        <v>2.0895509675463586</v>
      </c>
    </row>
    <row r="5" spans="1:29" x14ac:dyDescent="0.35">
      <c r="A5" s="384"/>
      <c r="B5" t="s">
        <v>14</v>
      </c>
      <c r="C5">
        <v>4.2</v>
      </c>
      <c r="D5">
        <f t="shared" ref="D5:D8" si="12">3.9*(C5^1.08)</f>
        <v>18.372736253995861</v>
      </c>
      <c r="E5">
        <f t="shared" ref="E5:E8" si="13">4.8*C5</f>
        <v>20.16</v>
      </c>
      <c r="F5">
        <v>50</v>
      </c>
      <c r="G5" s="39">
        <f t="shared" ref="G5:G8" si="14">F5/D5</f>
        <v>2.7214237067777844</v>
      </c>
      <c r="H5" s="39">
        <f t="shared" ref="H5:H8" si="15">F5/E5</f>
        <v>2.4801587301587302</v>
      </c>
      <c r="I5" s="11">
        <f t="shared" ref="I5:I8" si="16">F5/100</f>
        <v>0.5</v>
      </c>
      <c r="J5" s="10">
        <f t="shared" ref="J5:J8" si="17">D5/100</f>
        <v>0.18372736253995861</v>
      </c>
      <c r="K5" s="10">
        <f t="shared" ref="K5:K8" si="18">E5/100</f>
        <v>0.2016</v>
      </c>
      <c r="L5" s="22">
        <f t="shared" ref="L5:L6" si="19">0.25*(9.81^0.5)</f>
        <v>0.7830229881682913</v>
      </c>
      <c r="M5" s="24">
        <f t="shared" ref="M5:M8" si="20">I5^1.67</f>
        <v>0.31425334363045709</v>
      </c>
      <c r="N5" s="22">
        <f t="shared" ref="N5:N8" si="21">J5^(-1.17)</f>
        <v>7.2596654338408042</v>
      </c>
      <c r="O5" s="22">
        <f t="shared" ref="O5:O8" si="22">L5*M5*N5</f>
        <v>1.7863683932751298</v>
      </c>
      <c r="P5" s="22">
        <f>K5^(-1.17)</f>
        <v>6.5124752003096447</v>
      </c>
      <c r="Q5" s="22">
        <f t="shared" ref="Q5:Q8" si="23">L5*M5*P5</f>
        <v>1.6025090916161333</v>
      </c>
      <c r="R5" s="27">
        <f t="shared" si="0"/>
        <v>1.8023654265169942</v>
      </c>
      <c r="S5" s="27">
        <f t="shared" si="1"/>
        <v>0.33070925257192552</v>
      </c>
      <c r="T5" s="27">
        <f t="shared" si="2"/>
        <v>2.8812475003344709</v>
      </c>
      <c r="U5" s="27">
        <f t="shared" si="3"/>
        <v>5.1930608798413616</v>
      </c>
      <c r="V5" s="27">
        <f t="shared" si="4"/>
        <v>2.2788288395229164</v>
      </c>
      <c r="W5" s="27">
        <f t="shared" si="5"/>
        <v>1.9776960000000001</v>
      </c>
      <c r="X5" s="27">
        <f t="shared" si="6"/>
        <v>0.36288000000000004</v>
      </c>
      <c r="Y5" s="27">
        <f t="shared" si="7"/>
        <v>2.2717987012834988</v>
      </c>
      <c r="Z5" s="27">
        <f t="shared" si="8"/>
        <v>4.4929272043335704</v>
      </c>
      <c r="AA5" s="27">
        <f t="shared" si="9"/>
        <v>2.1196526140699494</v>
      </c>
      <c r="AB5" s="28">
        <f t="shared" si="10"/>
        <v>2.0325986163990231</v>
      </c>
      <c r="AC5" s="28">
        <f t="shared" si="11"/>
        <v>1.8610808528430414</v>
      </c>
    </row>
    <row r="6" spans="1:29" x14ac:dyDescent="0.35">
      <c r="A6" s="384"/>
      <c r="B6" t="s">
        <v>15</v>
      </c>
      <c r="C6">
        <f>(4.3+4.2)/2</f>
        <v>4.25</v>
      </c>
      <c r="D6">
        <f t="shared" si="12"/>
        <v>18.609069226497194</v>
      </c>
      <c r="E6">
        <f t="shared" si="13"/>
        <v>20.399999999999999</v>
      </c>
      <c r="F6">
        <v>56</v>
      </c>
      <c r="G6" s="40">
        <f t="shared" si="14"/>
        <v>3.00928538221903</v>
      </c>
      <c r="H6" s="39">
        <f t="shared" si="15"/>
        <v>2.7450980392156863</v>
      </c>
      <c r="I6" s="11">
        <f t="shared" si="16"/>
        <v>0.56000000000000005</v>
      </c>
      <c r="J6" s="10">
        <f t="shared" si="17"/>
        <v>0.18609069226497194</v>
      </c>
      <c r="K6" s="10">
        <f t="shared" si="18"/>
        <v>0.20399999999999999</v>
      </c>
      <c r="L6" s="22">
        <f t="shared" si="19"/>
        <v>0.7830229881682913</v>
      </c>
      <c r="M6" s="24">
        <f t="shared" si="20"/>
        <v>0.37972920942139415</v>
      </c>
      <c r="N6" s="22">
        <f t="shared" si="21"/>
        <v>7.1519119288679223</v>
      </c>
      <c r="O6" s="22">
        <f t="shared" si="22"/>
        <v>2.1265258934505606</v>
      </c>
      <c r="P6" s="22">
        <f t="shared" ref="P6:P8" si="24">K6^(-1.17)</f>
        <v>6.422922830274862</v>
      </c>
      <c r="Q6" s="22">
        <f t="shared" si="23"/>
        <v>1.9097706803523606</v>
      </c>
      <c r="R6" s="27">
        <f t="shared" si="0"/>
        <v>1.8255496911193747</v>
      </c>
      <c r="S6" s="27">
        <f t="shared" si="1"/>
        <v>0.33496324607694949</v>
      </c>
      <c r="T6" s="27">
        <f t="shared" si="2"/>
        <v>3.727079257681547</v>
      </c>
      <c r="U6" s="27">
        <f t="shared" si="3"/>
        <v>6.8039683876379762</v>
      </c>
      <c r="V6" s="27">
        <f t="shared" si="4"/>
        <v>2.6084417546953156</v>
      </c>
      <c r="W6" s="27">
        <f t="shared" si="5"/>
        <v>2.0012400000000001</v>
      </c>
      <c r="X6" s="27">
        <f t="shared" si="6"/>
        <v>0.36719999999999997</v>
      </c>
      <c r="Y6" s="27">
        <f t="shared" si="7"/>
        <v>2.9458491743046262</v>
      </c>
      <c r="Z6" s="27">
        <f t="shared" si="8"/>
        <v>5.8953512015853908</v>
      </c>
      <c r="AA6" s="27">
        <f t="shared" si="9"/>
        <v>2.4280344317133129</v>
      </c>
      <c r="AB6" s="28">
        <f t="shared" si="10"/>
        <v>2.3674838240729379</v>
      </c>
      <c r="AC6" s="28">
        <f t="shared" si="11"/>
        <v>2.1689025560328368</v>
      </c>
    </row>
    <row r="7" spans="1:29" x14ac:dyDescent="0.35">
      <c r="A7" s="384"/>
      <c r="B7" t="s">
        <v>19</v>
      </c>
      <c r="C7">
        <v>4.2</v>
      </c>
      <c r="D7">
        <f t="shared" si="12"/>
        <v>18.372736253995861</v>
      </c>
      <c r="E7">
        <f t="shared" si="13"/>
        <v>20.16</v>
      </c>
      <c r="F7">
        <v>64</v>
      </c>
      <c r="G7" s="40">
        <f t="shared" si="14"/>
        <v>3.4834223446755641</v>
      </c>
      <c r="H7" s="40">
        <f t="shared" si="15"/>
        <v>3.1746031746031744</v>
      </c>
      <c r="I7" s="11">
        <f t="shared" si="16"/>
        <v>0.64</v>
      </c>
      <c r="J7" s="10">
        <f t="shared" si="17"/>
        <v>0.18372736253995861</v>
      </c>
      <c r="K7" s="10">
        <f t="shared" si="18"/>
        <v>0.2016</v>
      </c>
      <c r="L7" s="22">
        <f>0.25*(9.81^0.5)</f>
        <v>0.7830229881682913</v>
      </c>
      <c r="M7" s="24">
        <f t="shared" si="20"/>
        <v>0.47459215663110649</v>
      </c>
      <c r="N7" s="22">
        <f t="shared" si="21"/>
        <v>7.2596654338408042</v>
      </c>
      <c r="O7" s="22">
        <f t="shared" si="22"/>
        <v>2.6978119580456896</v>
      </c>
      <c r="P7" s="22">
        <f t="shared" si="24"/>
        <v>6.5124752003096447</v>
      </c>
      <c r="Q7" s="22">
        <f t="shared" si="23"/>
        <v>2.420143687334646</v>
      </c>
      <c r="R7" s="27">
        <f t="shared" si="0"/>
        <v>1.8023654265169942</v>
      </c>
      <c r="S7" s="27">
        <f>1.8*J7</f>
        <v>0.33070925257192552</v>
      </c>
      <c r="T7" s="27">
        <f t="shared" si="2"/>
        <v>5.4204842674826939</v>
      </c>
      <c r="U7" s="27">
        <f t="shared" si="3"/>
        <v>9.7696934386901013</v>
      </c>
      <c r="V7" s="27">
        <f t="shared" si="4"/>
        <v>3.125650882406751</v>
      </c>
      <c r="W7" s="27">
        <f t="shared" si="5"/>
        <v>1.9776960000000001</v>
      </c>
      <c r="X7" s="27">
        <f t="shared" si="6"/>
        <v>0.36288000000000004</v>
      </c>
      <c r="Y7" s="27">
        <f t="shared" si="7"/>
        <v>4.2739296494887427</v>
      </c>
      <c r="Z7" s="27">
        <f t="shared" si="8"/>
        <v>8.4525335720752892</v>
      </c>
      <c r="AA7" s="27">
        <f t="shared" si="9"/>
        <v>2.9073241257340552</v>
      </c>
      <c r="AB7" s="28">
        <f t="shared" si="10"/>
        <v>2.9117314202262206</v>
      </c>
      <c r="AC7" s="28">
        <f t="shared" si="11"/>
        <v>2.6637339065343504</v>
      </c>
    </row>
    <row r="8" spans="1:29" x14ac:dyDescent="0.35">
      <c r="A8" s="384"/>
      <c r="B8" t="s">
        <v>20</v>
      </c>
      <c r="C8">
        <f>(4.2+5)/2</f>
        <v>4.5999999999999996</v>
      </c>
      <c r="D8">
        <f t="shared" si="12"/>
        <v>20.269501373180439</v>
      </c>
      <c r="E8">
        <f t="shared" si="13"/>
        <v>22.08</v>
      </c>
      <c r="F8">
        <v>64</v>
      </c>
      <c r="G8" s="40">
        <f t="shared" si="14"/>
        <v>3.157453102654094</v>
      </c>
      <c r="H8" s="40">
        <f t="shared" si="15"/>
        <v>2.8985507246376816</v>
      </c>
      <c r="I8" s="11">
        <f t="shared" si="16"/>
        <v>0.64</v>
      </c>
      <c r="J8" s="10">
        <f t="shared" si="17"/>
        <v>0.2026950137318044</v>
      </c>
      <c r="K8" s="10">
        <f t="shared" si="18"/>
        <v>0.2208</v>
      </c>
      <c r="L8" s="22">
        <f t="shared" ref="L8:L21" si="25">0.25*(9.81^0.5)</f>
        <v>0.7830229881682913</v>
      </c>
      <c r="M8" s="24">
        <f t="shared" si="20"/>
        <v>0.47459215663110649</v>
      </c>
      <c r="N8" s="22">
        <f t="shared" si="21"/>
        <v>6.4713309953649167</v>
      </c>
      <c r="O8" s="22">
        <f t="shared" si="22"/>
        <v>2.4048538190733972</v>
      </c>
      <c r="P8" s="22">
        <f t="shared" si="24"/>
        <v>5.8549216694531925</v>
      </c>
      <c r="Q8" s="22">
        <f t="shared" si="23"/>
        <v>2.1757859004963658</v>
      </c>
      <c r="R8" s="27">
        <f t="shared" si="0"/>
        <v>1.9884380847090013</v>
      </c>
      <c r="S8" s="27">
        <f t="shared" si="1"/>
        <v>0.36485102471724795</v>
      </c>
      <c r="T8" s="27">
        <f t="shared" si="2"/>
        <v>4.2150707951750599</v>
      </c>
      <c r="U8" s="27">
        <f t="shared" si="3"/>
        <v>8.3814072988707427</v>
      </c>
      <c r="V8" s="27">
        <f t="shared" si="4"/>
        <v>2.8950660266858756</v>
      </c>
      <c r="W8" s="27">
        <f t="shared" si="5"/>
        <v>2.166048</v>
      </c>
      <c r="X8" s="27">
        <f t="shared" si="6"/>
        <v>0.39744000000000002</v>
      </c>
      <c r="Y8" s="27">
        <f t="shared" si="7"/>
        <v>3.3859886932629215</v>
      </c>
      <c r="Z8" s="27">
        <f t="shared" si="8"/>
        <v>7.3342140370647648</v>
      </c>
      <c r="AA8" s="27">
        <f t="shared" si="9"/>
        <v>2.7081754073665105</v>
      </c>
      <c r="AB8" s="28">
        <f t="shared" si="10"/>
        <v>2.6499599228796367</v>
      </c>
      <c r="AC8" s="28">
        <f t="shared" si="11"/>
        <v>2.4419806539314379</v>
      </c>
    </row>
    <row r="10" spans="1:29" x14ac:dyDescent="0.35">
      <c r="A10" s="384" t="s">
        <v>51</v>
      </c>
      <c r="B10" s="9" t="s">
        <v>13</v>
      </c>
      <c r="C10">
        <f>(12.5+14.2)/2</f>
        <v>13.35</v>
      </c>
      <c r="D10">
        <f>3.06*(C10^1.14)</f>
        <v>58.71783975341345</v>
      </c>
      <c r="E10">
        <f>4.5*C10</f>
        <v>60.074999999999996</v>
      </c>
      <c r="F10">
        <v>140</v>
      </c>
      <c r="G10" s="39">
        <f>F10/D10</f>
        <v>2.3842839005646725</v>
      </c>
      <c r="H10" s="39">
        <f>F10/E10</f>
        <v>2.3304203079483981</v>
      </c>
      <c r="I10" s="12">
        <f>F10/100</f>
        <v>1.4</v>
      </c>
      <c r="J10" s="12">
        <f>D10/100</f>
        <v>0.58717839753413448</v>
      </c>
      <c r="K10" s="12">
        <f>E10/100</f>
        <v>0.60075000000000001</v>
      </c>
      <c r="L10" s="22">
        <f>0.25*(9.81^0.5)</f>
        <v>0.7830229881682913</v>
      </c>
      <c r="M10" s="23">
        <f>I10^1.67</f>
        <v>1.7540170861610593</v>
      </c>
      <c r="N10" s="22">
        <f>J10^(-1.17)</f>
        <v>1.8643996761601991</v>
      </c>
      <c r="O10" s="22">
        <f>L10*M10*N10</f>
        <v>2.5606330745008883</v>
      </c>
      <c r="P10" s="22">
        <f>K10^(-1.17)</f>
        <v>1.8152158624199717</v>
      </c>
      <c r="Q10" s="22">
        <f>L10*M10*P10</f>
        <v>2.4930822688427905</v>
      </c>
      <c r="R10" s="27">
        <f>9.81*J10</f>
        <v>5.7602200798098595</v>
      </c>
      <c r="S10" s="27">
        <f>1.8*J10</f>
        <v>1.0569211155614422</v>
      </c>
      <c r="T10" s="27">
        <f>(I10/S10)^2.56</f>
        <v>2.0537084057344579</v>
      </c>
      <c r="U10" s="27">
        <f>R10*T10</f>
        <v>11.829812396785918</v>
      </c>
      <c r="V10" s="27">
        <f>U10^0.5</f>
        <v>3.4394494322181739</v>
      </c>
      <c r="W10" s="27">
        <f>9.81*K10</f>
        <v>5.8933575000000005</v>
      </c>
      <c r="X10" s="27">
        <f>1.8*K10</f>
        <v>1.08135</v>
      </c>
      <c r="Y10" s="27">
        <f>(I10/X10)^2.56</f>
        <v>1.9370199015217746</v>
      </c>
      <c r="Z10" s="27">
        <f>W10*Y10</f>
        <v>11.415550764282612</v>
      </c>
      <c r="AA10" s="27">
        <f>Z10^0.5</f>
        <v>3.3786906878675076</v>
      </c>
      <c r="AB10" s="28">
        <f>(O10+V10)/2</f>
        <v>3.0000412533595311</v>
      </c>
      <c r="AC10" s="28">
        <f>(Q10+AA10)/2</f>
        <v>2.9358864783551493</v>
      </c>
    </row>
    <row r="11" spans="1:29" x14ac:dyDescent="0.35">
      <c r="A11" s="384"/>
      <c r="B11" t="s">
        <v>14</v>
      </c>
      <c r="C11">
        <f>(14.2+14.2)/2</f>
        <v>14.2</v>
      </c>
      <c r="D11">
        <f>3.06*(C11^1.14)</f>
        <v>62.998489859273548</v>
      </c>
      <c r="E11">
        <f>4.5*C11</f>
        <v>63.9</v>
      </c>
      <c r="F11">
        <v>142</v>
      </c>
      <c r="G11" s="39">
        <f t="shared" ref="G11:G12" si="26">F11/D11</f>
        <v>2.2540222839817359</v>
      </c>
      <c r="H11" s="39">
        <f t="shared" ref="H11:H12" si="27">F11/E11</f>
        <v>2.2222222222222223</v>
      </c>
      <c r="I11" s="12">
        <f t="shared" ref="I11:I12" si="28">F11/100</f>
        <v>1.42</v>
      </c>
      <c r="J11" s="12">
        <f>D11/100</f>
        <v>0.62998489859273543</v>
      </c>
      <c r="K11" s="12">
        <f t="shared" ref="K11:K12" si="29">E11/100</f>
        <v>0.63900000000000001</v>
      </c>
      <c r="L11" s="22">
        <f t="shared" ref="L11:L12" si="30">0.25*(9.81^0.5)</f>
        <v>0.7830229881682913</v>
      </c>
      <c r="M11" s="23">
        <f>I11^1.67</f>
        <v>1.7960628713627389</v>
      </c>
      <c r="N11" s="22">
        <f t="shared" ref="N11:N12" si="31">J11^(-1.17)</f>
        <v>1.7170531447529749</v>
      </c>
      <c r="O11" s="22">
        <f t="shared" ref="O11:O12" si="32">L11*M11*N11</f>
        <v>2.4147923133593601</v>
      </c>
      <c r="P11" s="22">
        <f t="shared" ref="P11:P12" si="33">K11^(-1.17)</f>
        <v>1.6887446880369767</v>
      </c>
      <c r="Q11" s="22">
        <f t="shared" ref="Q11:Q12" si="34">L11*M11*P11</f>
        <v>2.3749804741686211</v>
      </c>
      <c r="R11" s="27">
        <f>9.81*J11</f>
        <v>6.180151855194735</v>
      </c>
      <c r="S11" s="27">
        <f>1.8*J11</f>
        <v>1.1339728174669239</v>
      </c>
      <c r="T11" s="27">
        <f>(I11/S11)^2.56</f>
        <v>1.7785881420210599</v>
      </c>
      <c r="U11" s="27">
        <f>R11*T11</f>
        <v>10.991944805538809</v>
      </c>
      <c r="V11" s="27">
        <f>U11^0.5</f>
        <v>3.3154102017003582</v>
      </c>
      <c r="W11" s="27">
        <f>9.81*K11</f>
        <v>6.2685900000000006</v>
      </c>
      <c r="X11" s="27">
        <f>1.8*K11</f>
        <v>1.1502000000000001</v>
      </c>
      <c r="Y11" s="27">
        <f>(I11/X11)^2.56</f>
        <v>1.715056183548805</v>
      </c>
      <c r="Z11" s="27">
        <f>W11*Y11</f>
        <v>10.750984041632204</v>
      </c>
      <c r="AA11" s="27">
        <f>Z11^0.5</f>
        <v>3.2788693236590269</v>
      </c>
      <c r="AB11" s="28">
        <f>(O11+V11)/2</f>
        <v>2.8651012575298589</v>
      </c>
      <c r="AC11" s="28">
        <f>(Q11+AA11)/2</f>
        <v>2.8269248989138243</v>
      </c>
    </row>
    <row r="12" spans="1:29" x14ac:dyDescent="0.35">
      <c r="A12" s="384"/>
      <c r="B12" t="s">
        <v>15</v>
      </c>
      <c r="C12">
        <f>(14.2+13)/2</f>
        <v>13.6</v>
      </c>
      <c r="D12">
        <f>3.06*(C12^1.14)</f>
        <v>59.973001124401478</v>
      </c>
      <c r="E12">
        <f>4.5*C12</f>
        <v>61.199999999999996</v>
      </c>
      <c r="F12">
        <v>148</v>
      </c>
      <c r="G12" s="39">
        <f t="shared" si="26"/>
        <v>2.4677771201245187</v>
      </c>
      <c r="H12" s="39">
        <f t="shared" si="27"/>
        <v>2.4183006535947715</v>
      </c>
      <c r="I12" s="12">
        <f t="shared" si="28"/>
        <v>1.48</v>
      </c>
      <c r="J12" s="12">
        <f t="shared" ref="J12" si="35">D12/100</f>
        <v>0.59973001124401482</v>
      </c>
      <c r="K12" s="12">
        <f t="shared" si="29"/>
        <v>0.61199999999999999</v>
      </c>
      <c r="L12" s="22">
        <f t="shared" si="30"/>
        <v>0.7830229881682913</v>
      </c>
      <c r="M12" s="23">
        <f t="shared" ref="M12" si="36">I12^1.67</f>
        <v>1.9245848585496608</v>
      </c>
      <c r="N12" s="22">
        <f t="shared" si="31"/>
        <v>1.8188284342498933</v>
      </c>
      <c r="O12" s="22">
        <f t="shared" si="32"/>
        <v>2.7409638774284955</v>
      </c>
      <c r="P12" s="22">
        <f t="shared" si="33"/>
        <v>1.7762366878385825</v>
      </c>
      <c r="Q12" s="22">
        <f t="shared" si="34"/>
        <v>2.6767783631756661</v>
      </c>
      <c r="R12" s="27">
        <f>9.81*J12</f>
        <v>5.8833514103037858</v>
      </c>
      <c r="S12" s="27">
        <f>1.8*J12</f>
        <v>1.0795140202392266</v>
      </c>
      <c r="T12" s="27">
        <f>(I12/S12)^2.56</f>
        <v>2.2428776143620341</v>
      </c>
      <c r="U12" s="27">
        <f>R12*T12</f>
        <v>13.195637175595664</v>
      </c>
      <c r="V12" s="27">
        <f>U12^0.5</f>
        <v>3.6325799613491876</v>
      </c>
      <c r="W12" s="27">
        <f>9.81*K12</f>
        <v>6.0037200000000004</v>
      </c>
      <c r="X12" s="27">
        <f>1.8*K12</f>
        <v>1.1015999999999999</v>
      </c>
      <c r="Y12" s="27">
        <f>(I12/X12)^2.56</f>
        <v>2.1295543948087383</v>
      </c>
      <c r="Z12" s="27">
        <f>W12*Y12</f>
        <v>12.785248311201119</v>
      </c>
      <c r="AA12" s="27">
        <f>Z12^0.5</f>
        <v>3.5756465584843702</v>
      </c>
      <c r="AB12" s="28">
        <f>(O12+V12)/2</f>
        <v>3.1867719193888417</v>
      </c>
      <c r="AC12" s="28">
        <f>(Q12+AA12)/2</f>
        <v>3.1262124608300184</v>
      </c>
    </row>
    <row r="13" spans="1:29" ht="12" customHeight="1" x14ac:dyDescent="0.35">
      <c r="H13" s="12"/>
      <c r="I13" s="12"/>
      <c r="J13" s="12"/>
      <c r="K13" s="12"/>
      <c r="L13" s="22"/>
      <c r="M13" s="22"/>
      <c r="N13" s="22"/>
      <c r="O13" s="22"/>
      <c r="P13" s="22"/>
      <c r="Q13" s="22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C13" s="28"/>
    </row>
    <row r="14" spans="1:29" x14ac:dyDescent="0.35">
      <c r="A14" s="385" t="s">
        <v>120</v>
      </c>
      <c r="B14" t="s">
        <v>13</v>
      </c>
      <c r="C14">
        <v>3.95</v>
      </c>
      <c r="D14" s="41">
        <f>3.9*(C14^1.08)</f>
        <v>17.194496786703091</v>
      </c>
      <c r="E14" s="41">
        <f>4.8*C14</f>
        <v>18.96</v>
      </c>
      <c r="F14" s="54">
        <v>38.200000000000003</v>
      </c>
      <c r="G14" s="39">
        <f t="shared" ref="G14:G21" si="37">F14/D14</f>
        <v>2.2216410560814412</v>
      </c>
      <c r="H14" s="39">
        <f t="shared" ref="H14:H21" si="38">F14/E14</f>
        <v>2.0147679324894514</v>
      </c>
      <c r="I14">
        <f>F14/100</f>
        <v>0.38200000000000001</v>
      </c>
      <c r="J14" s="10">
        <f t="shared" ref="J14:K21" si="39">D14/100</f>
        <v>0.17194496786703092</v>
      </c>
      <c r="K14" s="10">
        <f t="shared" si="39"/>
        <v>0.18960000000000002</v>
      </c>
      <c r="L14" s="22">
        <f t="shared" si="25"/>
        <v>0.7830229881682913</v>
      </c>
      <c r="M14" s="24">
        <f t="shared" ref="M14:M21" si="40">I14^1.67</f>
        <v>0.20046835010632638</v>
      </c>
      <c r="N14" s="22">
        <f t="shared" ref="N14:N21" si="41">J14^(-1.17)</f>
        <v>7.8450247803380595</v>
      </c>
      <c r="O14" s="22">
        <f t="shared" ref="O14:O21" si="42">L14*M14*N14</f>
        <v>1.2314439464572398</v>
      </c>
      <c r="P14" s="22">
        <f t="shared" ref="P14:P21" si="43">K14^(-1.17)</f>
        <v>6.997278350078795</v>
      </c>
      <c r="Q14" s="22">
        <f t="shared" ref="Q14:Q21" si="44">L14*M14*P14</f>
        <v>1.0983720647354691</v>
      </c>
      <c r="R14" s="27">
        <f>9.81*J14</f>
        <v>1.6867801347755735</v>
      </c>
      <c r="S14" s="27">
        <f t="shared" ref="S14:S21" si="45">1.8*J14</f>
        <v>0.30950094216065566</v>
      </c>
      <c r="T14" s="27">
        <f t="shared" ref="T14:T21" si="46">(I14/S14)^2.56</f>
        <v>1.7139081818291386</v>
      </c>
      <c r="U14" s="27">
        <f t="shared" ref="U14:U21" si="47">R14*T14</f>
        <v>2.8909862739387124</v>
      </c>
      <c r="V14" s="27">
        <f t="shared" ref="V14:V21" si="48">U14^0.5</f>
        <v>1.7002900558253913</v>
      </c>
      <c r="W14" s="27">
        <f t="shared" ref="W14:W21" si="49">9.81*K14</f>
        <v>1.8599760000000003</v>
      </c>
      <c r="X14" s="27">
        <f t="shared" ref="X14:X21" si="50">1.8*K14</f>
        <v>0.34128000000000003</v>
      </c>
      <c r="Y14" s="27">
        <f t="shared" ref="Y14:Y21" si="51">(I14/X14)^2.56</f>
        <v>1.3344996477980151</v>
      </c>
      <c r="Z14" s="27">
        <f t="shared" ref="Z14:Z21" si="52">W14*Y14</f>
        <v>2.4821373169127612</v>
      </c>
      <c r="AA14" s="27">
        <f t="shared" ref="AA14:AA21" si="53">Z14^0.5</f>
        <v>1.5754800274560008</v>
      </c>
      <c r="AB14" s="28">
        <f t="shared" ref="AB14:AB21" si="54">(O14+V14)/2</f>
        <v>1.4658670011413155</v>
      </c>
      <c r="AC14" s="28">
        <f t="shared" ref="AC14:AC21" si="55">(Q14+AA14)/2</f>
        <v>1.3369260460957348</v>
      </c>
    </row>
    <row r="15" spans="1:29" x14ac:dyDescent="0.35">
      <c r="A15" s="385"/>
      <c r="B15" t="s">
        <v>14</v>
      </c>
      <c r="C15">
        <v>4.05</v>
      </c>
      <c r="D15" s="41">
        <f t="shared" ref="D15:D21" si="56">3.9*(C15^1.08)</f>
        <v>17.665097227233694</v>
      </c>
      <c r="E15" s="41">
        <f t="shared" ref="E15:E21" si="57">4.8*C15</f>
        <v>19.439999999999998</v>
      </c>
      <c r="F15" s="54">
        <v>39.299999999999997</v>
      </c>
      <c r="G15" s="39">
        <f t="shared" si="37"/>
        <v>2.2247259380725337</v>
      </c>
      <c r="H15" s="39">
        <f t="shared" si="38"/>
        <v>2.0216049382716048</v>
      </c>
      <c r="I15">
        <f t="shared" ref="I15:I21" si="58">F15/100</f>
        <v>0.39299999999999996</v>
      </c>
      <c r="J15" s="10">
        <f t="shared" si="39"/>
        <v>0.17665097227233695</v>
      </c>
      <c r="K15" s="10">
        <f t="shared" si="39"/>
        <v>0.19439999999999999</v>
      </c>
      <c r="L15" s="22">
        <f t="shared" si="25"/>
        <v>0.7830229881682913</v>
      </c>
      <c r="M15" s="24">
        <f t="shared" si="40"/>
        <v>0.21020137817257467</v>
      </c>
      <c r="N15" s="22">
        <f t="shared" si="41"/>
        <v>7.6010614305591311</v>
      </c>
      <c r="O15" s="22">
        <f t="shared" si="42"/>
        <v>1.2510777890499956</v>
      </c>
      <c r="P15" s="22">
        <f t="shared" si="43"/>
        <v>6.795561936677923</v>
      </c>
      <c r="Q15" s="22">
        <f t="shared" si="44"/>
        <v>1.1184986045384369</v>
      </c>
      <c r="R15" s="27">
        <f t="shared" ref="R15:R21" si="59">9.81*J15</f>
        <v>1.7329460379916255</v>
      </c>
      <c r="S15" s="27">
        <f t="shared" si="45"/>
        <v>0.31797175009020651</v>
      </c>
      <c r="T15" s="27">
        <f t="shared" si="46"/>
        <v>1.7200072350272453</v>
      </c>
      <c r="U15" s="27">
        <f t="shared" si="47"/>
        <v>2.9806797232573952</v>
      </c>
      <c r="V15" s="27">
        <f t="shared" si="48"/>
        <v>1.7264645154932652</v>
      </c>
      <c r="W15" s="27">
        <f t="shared" si="49"/>
        <v>1.9070640000000001</v>
      </c>
      <c r="X15" s="27">
        <f t="shared" si="50"/>
        <v>0.34992000000000001</v>
      </c>
      <c r="Y15" s="27">
        <f t="shared" si="51"/>
        <v>1.3461234465478085</v>
      </c>
      <c r="Z15" s="27">
        <f t="shared" si="52"/>
        <v>2.56714356446725</v>
      </c>
      <c r="AA15" s="27">
        <f t="shared" si="53"/>
        <v>1.6022308087373835</v>
      </c>
      <c r="AB15" s="28">
        <f t="shared" si="54"/>
        <v>1.4887711522716303</v>
      </c>
      <c r="AC15" s="28">
        <f t="shared" si="55"/>
        <v>1.3603647066379101</v>
      </c>
    </row>
    <row r="16" spans="1:29" x14ac:dyDescent="0.35">
      <c r="A16" s="385"/>
      <c r="B16" t="s">
        <v>15</v>
      </c>
      <c r="C16">
        <v>3.9000000000000004</v>
      </c>
      <c r="D16" s="41">
        <f t="shared" si="56"/>
        <v>16.959552264594741</v>
      </c>
      <c r="E16" s="41">
        <f t="shared" si="57"/>
        <v>18.720000000000002</v>
      </c>
      <c r="F16" s="54">
        <v>40.4</v>
      </c>
      <c r="G16" s="39">
        <f t="shared" si="37"/>
        <v>2.382138358943604</v>
      </c>
      <c r="H16" s="39">
        <f t="shared" si="38"/>
        <v>2.1581196581196576</v>
      </c>
      <c r="I16">
        <f t="shared" si="58"/>
        <v>0.40399999999999997</v>
      </c>
      <c r="J16" s="10">
        <f t="shared" si="39"/>
        <v>0.16959552264594741</v>
      </c>
      <c r="K16" s="10">
        <f t="shared" si="39"/>
        <v>0.18720000000000003</v>
      </c>
      <c r="L16" s="22">
        <f t="shared" si="25"/>
        <v>0.7830229881682913</v>
      </c>
      <c r="M16" s="24">
        <f t="shared" si="40"/>
        <v>0.22011866983768605</v>
      </c>
      <c r="N16" s="22">
        <f t="shared" si="41"/>
        <v>7.9723282582005703</v>
      </c>
      <c r="O16" s="22">
        <f t="shared" si="42"/>
        <v>1.3740943833823653</v>
      </c>
      <c r="P16" s="22">
        <f t="shared" si="43"/>
        <v>7.1023515005790321</v>
      </c>
      <c r="Q16" s="22">
        <f t="shared" si="44"/>
        <v>1.2241469480028322</v>
      </c>
      <c r="R16" s="27">
        <f t="shared" si="59"/>
        <v>1.6637320771567441</v>
      </c>
      <c r="S16" s="27">
        <f t="shared" si="45"/>
        <v>0.30527194076270536</v>
      </c>
      <c r="T16" s="27">
        <f t="shared" si="46"/>
        <v>2.0489806738681313</v>
      </c>
      <c r="U16" s="27">
        <f t="shared" si="47"/>
        <v>3.4089548725886512</v>
      </c>
      <c r="V16" s="27">
        <f t="shared" si="48"/>
        <v>1.8463355254635196</v>
      </c>
      <c r="W16" s="27">
        <f t="shared" si="49"/>
        <v>1.8364320000000005</v>
      </c>
      <c r="X16" s="27">
        <f t="shared" si="50"/>
        <v>0.33696000000000009</v>
      </c>
      <c r="Y16" s="27">
        <f t="shared" si="51"/>
        <v>1.591240119307493</v>
      </c>
      <c r="Z16" s="27">
        <f t="shared" si="52"/>
        <v>2.9222042747800989</v>
      </c>
      <c r="AA16" s="27">
        <f t="shared" si="53"/>
        <v>1.7094456045104502</v>
      </c>
      <c r="AB16" s="28">
        <f t="shared" si="54"/>
        <v>1.6102149544229425</v>
      </c>
      <c r="AC16" s="28">
        <f t="shared" si="55"/>
        <v>1.4667962762566411</v>
      </c>
    </row>
    <row r="17" spans="1:29" x14ac:dyDescent="0.35">
      <c r="A17" s="385"/>
      <c r="B17" t="s">
        <v>19</v>
      </c>
      <c r="C17">
        <v>3.7</v>
      </c>
      <c r="D17" s="41">
        <f t="shared" si="56"/>
        <v>16.022211821290522</v>
      </c>
      <c r="E17" s="41">
        <f t="shared" si="57"/>
        <v>17.760000000000002</v>
      </c>
      <c r="F17" s="54">
        <v>41.8</v>
      </c>
      <c r="G17" s="39">
        <f t="shared" si="37"/>
        <v>2.6088782539034727</v>
      </c>
      <c r="H17" s="39">
        <f t="shared" si="38"/>
        <v>2.3536036036036032</v>
      </c>
      <c r="I17">
        <f t="shared" si="58"/>
        <v>0.41799999999999998</v>
      </c>
      <c r="J17" s="10">
        <f t="shared" si="39"/>
        <v>0.16022211821290522</v>
      </c>
      <c r="K17" s="10">
        <f t="shared" si="39"/>
        <v>0.17760000000000001</v>
      </c>
      <c r="L17" s="22">
        <f t="shared" si="25"/>
        <v>0.7830229881682913</v>
      </c>
      <c r="M17" s="24">
        <f t="shared" si="40"/>
        <v>0.23300454397130602</v>
      </c>
      <c r="N17" s="22">
        <f t="shared" si="41"/>
        <v>8.5206889438597972</v>
      </c>
      <c r="O17" s="22">
        <f t="shared" si="42"/>
        <v>1.5545819260120357</v>
      </c>
      <c r="P17" s="22">
        <f t="shared" si="43"/>
        <v>7.5535609015064011</v>
      </c>
      <c r="Q17" s="22">
        <f t="shared" si="44"/>
        <v>1.378131431845665</v>
      </c>
      <c r="R17" s="27">
        <f t="shared" si="59"/>
        <v>1.5717789796686004</v>
      </c>
      <c r="S17" s="27">
        <f t="shared" si="45"/>
        <v>0.2883998127832294</v>
      </c>
      <c r="T17" s="27">
        <f t="shared" si="46"/>
        <v>2.5859739614477415</v>
      </c>
      <c r="U17" s="27">
        <f t="shared" si="47"/>
        <v>4.0645795145738992</v>
      </c>
      <c r="V17" s="27">
        <f t="shared" si="48"/>
        <v>2.0160802351528324</v>
      </c>
      <c r="W17" s="27">
        <f t="shared" si="49"/>
        <v>1.7422560000000002</v>
      </c>
      <c r="X17" s="27">
        <f t="shared" si="50"/>
        <v>0.31968000000000002</v>
      </c>
      <c r="Y17" s="27">
        <f t="shared" si="51"/>
        <v>1.9867338300012107</v>
      </c>
      <c r="Z17" s="27">
        <f t="shared" si="52"/>
        <v>3.4613989357225901</v>
      </c>
      <c r="AA17" s="27">
        <f t="shared" si="53"/>
        <v>1.8604835220239362</v>
      </c>
      <c r="AB17" s="28">
        <f t="shared" si="54"/>
        <v>1.7853310805824341</v>
      </c>
      <c r="AC17" s="28">
        <f t="shared" si="55"/>
        <v>1.6193074769348006</v>
      </c>
    </row>
    <row r="18" spans="1:29" x14ac:dyDescent="0.35">
      <c r="A18" s="385"/>
      <c r="B18" t="s">
        <v>20</v>
      </c>
      <c r="C18">
        <v>3.6</v>
      </c>
      <c r="D18" s="41">
        <f t="shared" si="56"/>
        <v>15.555046289960515</v>
      </c>
      <c r="E18" s="41">
        <f t="shared" si="57"/>
        <v>17.28</v>
      </c>
      <c r="F18" s="54">
        <v>42.8</v>
      </c>
      <c r="G18" s="39">
        <f t="shared" si="37"/>
        <v>2.751518652028945</v>
      </c>
      <c r="H18" s="39">
        <f t="shared" si="38"/>
        <v>2.4768518518518516</v>
      </c>
      <c r="I18">
        <f t="shared" si="58"/>
        <v>0.42799999999999999</v>
      </c>
      <c r="J18" s="10">
        <f t="shared" si="39"/>
        <v>0.15555046289960514</v>
      </c>
      <c r="K18" s="10">
        <f t="shared" si="39"/>
        <v>0.17280000000000001</v>
      </c>
      <c r="L18" s="22">
        <f t="shared" si="25"/>
        <v>0.7830229881682913</v>
      </c>
      <c r="M18" s="24">
        <f t="shared" si="40"/>
        <v>0.24238798828885805</v>
      </c>
      <c r="N18" s="22">
        <f t="shared" si="41"/>
        <v>8.8208526996589125</v>
      </c>
      <c r="O18" s="22">
        <f t="shared" si="42"/>
        <v>1.6741569743795011</v>
      </c>
      <c r="P18" s="22">
        <f t="shared" si="43"/>
        <v>7.7996268628588785</v>
      </c>
      <c r="Q18" s="22">
        <f t="shared" si="44"/>
        <v>1.480333042010533</v>
      </c>
      <c r="R18" s="27">
        <f t="shared" si="59"/>
        <v>1.5259500410451265</v>
      </c>
      <c r="S18" s="27">
        <f t="shared" si="45"/>
        <v>0.27999083321928925</v>
      </c>
      <c r="T18" s="27">
        <f t="shared" si="46"/>
        <v>2.9635201704462601</v>
      </c>
      <c r="U18" s="27">
        <f t="shared" si="47"/>
        <v>4.5221837257305308</v>
      </c>
      <c r="V18" s="27">
        <f t="shared" si="48"/>
        <v>2.1265426696237562</v>
      </c>
      <c r="W18" s="27">
        <f t="shared" si="49"/>
        <v>1.6951680000000002</v>
      </c>
      <c r="X18" s="27">
        <f t="shared" si="50"/>
        <v>0.31104000000000004</v>
      </c>
      <c r="Y18" s="27">
        <f t="shared" si="51"/>
        <v>2.2640523576247875</v>
      </c>
      <c r="Z18" s="27">
        <f t="shared" si="52"/>
        <v>3.8379491069700964</v>
      </c>
      <c r="AA18" s="27">
        <f t="shared" si="53"/>
        <v>1.9590684283531539</v>
      </c>
      <c r="AB18" s="28">
        <f t="shared" si="54"/>
        <v>1.9003498220016286</v>
      </c>
      <c r="AC18" s="28">
        <f t="shared" si="55"/>
        <v>1.7197007351818434</v>
      </c>
    </row>
    <row r="19" spans="1:29" x14ac:dyDescent="0.35">
      <c r="A19" s="385"/>
      <c r="B19" t="s">
        <v>97</v>
      </c>
      <c r="C19">
        <v>3.95</v>
      </c>
      <c r="D19" s="41">
        <f t="shared" si="56"/>
        <v>17.194496786703091</v>
      </c>
      <c r="E19" s="41">
        <f t="shared" si="57"/>
        <v>18.96</v>
      </c>
      <c r="F19" s="54">
        <v>34.5</v>
      </c>
      <c r="G19" s="39">
        <f t="shared" si="37"/>
        <v>2.0064559276128198</v>
      </c>
      <c r="H19" s="23">
        <f t="shared" si="38"/>
        <v>1.8196202531645569</v>
      </c>
      <c r="I19">
        <f t="shared" si="58"/>
        <v>0.34499999999999997</v>
      </c>
      <c r="J19" s="10">
        <f t="shared" si="39"/>
        <v>0.17194496786703092</v>
      </c>
      <c r="K19" s="10">
        <f t="shared" si="39"/>
        <v>0.18960000000000002</v>
      </c>
      <c r="L19" s="22">
        <f t="shared" si="25"/>
        <v>0.7830229881682913</v>
      </c>
      <c r="M19" s="24">
        <f t="shared" si="40"/>
        <v>0.16910556071153657</v>
      </c>
      <c r="N19" s="22">
        <f t="shared" si="41"/>
        <v>7.8450247803380595</v>
      </c>
      <c r="O19" s="22">
        <f t="shared" si="42"/>
        <v>1.0387875140391409</v>
      </c>
      <c r="P19" s="22">
        <f t="shared" si="43"/>
        <v>6.997278350078795</v>
      </c>
      <c r="Q19" s="22">
        <f t="shared" si="44"/>
        <v>0.92653440694485978</v>
      </c>
      <c r="R19" s="27">
        <f t="shared" si="59"/>
        <v>1.6867801347755735</v>
      </c>
      <c r="S19" s="27">
        <f t="shared" si="45"/>
        <v>0.30950094216065566</v>
      </c>
      <c r="T19" s="27">
        <f t="shared" si="46"/>
        <v>1.3204508070425511</v>
      </c>
      <c r="U19" s="27">
        <f t="shared" si="47"/>
        <v>2.2273101902677492</v>
      </c>
      <c r="V19" s="27">
        <f t="shared" si="48"/>
        <v>1.492417565652371</v>
      </c>
      <c r="W19" s="27">
        <f t="shared" si="49"/>
        <v>1.8599760000000003</v>
      </c>
      <c r="X19" s="27">
        <f t="shared" si="50"/>
        <v>0.34128000000000003</v>
      </c>
      <c r="Y19" s="27">
        <f t="shared" si="51"/>
        <v>1.0281420881323269</v>
      </c>
      <c r="Z19" s="27">
        <f t="shared" si="52"/>
        <v>1.9123196085160132</v>
      </c>
      <c r="AA19" s="27">
        <f t="shared" si="53"/>
        <v>1.3828664463772391</v>
      </c>
      <c r="AB19" s="28">
        <f t="shared" si="54"/>
        <v>1.265602539845756</v>
      </c>
      <c r="AC19" s="28">
        <f t="shared" si="55"/>
        <v>1.1547004266610494</v>
      </c>
    </row>
    <row r="20" spans="1:29" x14ac:dyDescent="0.35">
      <c r="A20" s="385"/>
      <c r="B20" t="s">
        <v>98</v>
      </c>
      <c r="C20">
        <v>3.25</v>
      </c>
      <c r="D20" s="41">
        <f t="shared" si="56"/>
        <v>13.928316819901216</v>
      </c>
      <c r="E20" s="41">
        <f t="shared" si="57"/>
        <v>15.6</v>
      </c>
      <c r="F20" s="54">
        <v>35.299999999999997</v>
      </c>
      <c r="G20" s="39">
        <f t="shared" si="37"/>
        <v>2.5344053022661179</v>
      </c>
      <c r="H20" s="39">
        <f t="shared" si="38"/>
        <v>2.2628205128205128</v>
      </c>
      <c r="I20">
        <f t="shared" si="58"/>
        <v>0.35299999999999998</v>
      </c>
      <c r="J20" s="10">
        <f t="shared" si="39"/>
        <v>0.13928316819901215</v>
      </c>
      <c r="K20" s="10">
        <f t="shared" si="39"/>
        <v>0.156</v>
      </c>
      <c r="L20" s="22">
        <f t="shared" si="25"/>
        <v>0.7830229881682913</v>
      </c>
      <c r="M20" s="24">
        <f t="shared" si="40"/>
        <v>0.17570485342242634</v>
      </c>
      <c r="N20" s="22">
        <f t="shared" si="41"/>
        <v>10.037801308061599</v>
      </c>
      <c r="O20" s="22">
        <f t="shared" si="42"/>
        <v>1.3810101330972451</v>
      </c>
      <c r="P20" s="22">
        <f t="shared" si="43"/>
        <v>8.7911202358399958</v>
      </c>
      <c r="Q20" s="22">
        <f t="shared" si="44"/>
        <v>1.2094905800955482</v>
      </c>
      <c r="R20" s="27">
        <f t="shared" si="59"/>
        <v>1.3663678800323094</v>
      </c>
      <c r="S20" s="27">
        <f t="shared" si="45"/>
        <v>0.25070970275822191</v>
      </c>
      <c r="T20" s="27">
        <f t="shared" si="46"/>
        <v>2.401182238934326</v>
      </c>
      <c r="U20" s="27">
        <f t="shared" si="47"/>
        <v>3.280898285383929</v>
      </c>
      <c r="V20" s="27">
        <f t="shared" si="48"/>
        <v>1.811325008214685</v>
      </c>
      <c r="W20" s="27">
        <f t="shared" si="49"/>
        <v>1.5303600000000002</v>
      </c>
      <c r="X20" s="27">
        <f t="shared" si="50"/>
        <v>0.28079999999999999</v>
      </c>
      <c r="Y20" s="27">
        <f t="shared" si="51"/>
        <v>1.7964149511573011</v>
      </c>
      <c r="Z20" s="27">
        <f t="shared" si="52"/>
        <v>2.7491615846530877</v>
      </c>
      <c r="AA20" s="27">
        <f t="shared" si="53"/>
        <v>1.6580595841685206</v>
      </c>
      <c r="AB20" s="28">
        <f t="shared" si="54"/>
        <v>1.596167570655965</v>
      </c>
      <c r="AC20" s="28">
        <f t="shared" si="55"/>
        <v>1.4337750821320343</v>
      </c>
    </row>
    <row r="21" spans="1:29" x14ac:dyDescent="0.35">
      <c r="A21" s="69"/>
      <c r="B21" t="s">
        <v>99</v>
      </c>
      <c r="C21" s="12">
        <v>4.3</v>
      </c>
      <c r="D21" s="41">
        <f t="shared" si="56"/>
        <v>18.845624739668462</v>
      </c>
      <c r="E21" s="41">
        <f t="shared" si="57"/>
        <v>20.639999999999997</v>
      </c>
      <c r="F21" s="54">
        <v>39.1</v>
      </c>
      <c r="G21" s="39">
        <f t="shared" si="37"/>
        <v>2.0747521262958069</v>
      </c>
      <c r="H21" s="23">
        <f t="shared" si="38"/>
        <v>1.8943798449612406</v>
      </c>
      <c r="I21">
        <f t="shared" si="58"/>
        <v>0.39100000000000001</v>
      </c>
      <c r="J21" s="10">
        <f t="shared" si="39"/>
        <v>0.18845624739668462</v>
      </c>
      <c r="K21" s="10">
        <f t="shared" si="39"/>
        <v>0.20639999999999997</v>
      </c>
      <c r="L21" s="22">
        <f t="shared" si="25"/>
        <v>0.7830229881682913</v>
      </c>
      <c r="M21" s="24">
        <f t="shared" si="40"/>
        <v>0.2084179811897241</v>
      </c>
      <c r="N21" s="22">
        <f t="shared" si="41"/>
        <v>7.0469902287029491</v>
      </c>
      <c r="O21" s="22">
        <f t="shared" si="42"/>
        <v>1.1500411136066833</v>
      </c>
      <c r="P21" s="22">
        <f t="shared" si="43"/>
        <v>6.3356278506131476</v>
      </c>
      <c r="Q21" s="22">
        <f t="shared" si="44"/>
        <v>1.0339495688583844</v>
      </c>
      <c r="R21" s="27">
        <f t="shared" si="59"/>
        <v>1.8487557869614764</v>
      </c>
      <c r="S21" s="27">
        <f t="shared" si="45"/>
        <v>0.3392212453140323</v>
      </c>
      <c r="T21" s="27">
        <f t="shared" si="46"/>
        <v>1.4385862529630105</v>
      </c>
      <c r="U21" s="27">
        <f t="shared" si="47"/>
        <v>2.659594660208592</v>
      </c>
      <c r="V21" s="27">
        <f t="shared" si="48"/>
        <v>1.6308263734096871</v>
      </c>
      <c r="W21" s="27">
        <f t="shared" si="49"/>
        <v>2.0247839999999999</v>
      </c>
      <c r="X21" s="27">
        <f t="shared" si="50"/>
        <v>0.37151999999999996</v>
      </c>
      <c r="Y21" s="27">
        <f t="shared" si="51"/>
        <v>1.1397722313445744</v>
      </c>
      <c r="Z21" s="27">
        <f t="shared" si="52"/>
        <v>2.3077925776707926</v>
      </c>
      <c r="AA21" s="27">
        <f t="shared" si="53"/>
        <v>1.5191420531572393</v>
      </c>
      <c r="AB21" s="28">
        <f t="shared" si="54"/>
        <v>1.390433743508185</v>
      </c>
      <c r="AC21" s="28">
        <f t="shared" si="55"/>
        <v>1.2765458110078118</v>
      </c>
    </row>
  </sheetData>
  <mergeCells count="3">
    <mergeCell ref="A10:A12"/>
    <mergeCell ref="A4:A8"/>
    <mergeCell ref="A14:A20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CC7D-7093-4E8B-B7CE-54E3775E0814}">
  <dimension ref="A1:M15"/>
  <sheetViews>
    <sheetView zoomScale="80" zoomScaleNormal="80" workbookViewId="0">
      <selection activeCell="R4" sqref="R4"/>
    </sheetView>
  </sheetViews>
  <sheetFormatPr defaultRowHeight="14.5" x14ac:dyDescent="0.35"/>
  <cols>
    <col min="1" max="1" width="7.81640625" style="211" customWidth="1"/>
    <col min="2" max="2" width="5.08984375" customWidth="1"/>
    <col min="5" max="5" width="5.81640625" style="212" customWidth="1"/>
    <col min="6" max="6" width="8.1796875" style="212" customWidth="1"/>
    <col min="7" max="7" width="8.08984375" customWidth="1"/>
    <col min="8" max="9" width="7.54296875" customWidth="1"/>
    <col min="10" max="10" width="7.6328125" customWidth="1"/>
    <col min="12" max="12" width="5.453125" customWidth="1"/>
  </cols>
  <sheetData>
    <row r="1" spans="1:13" ht="21.5" thickBot="1" x14ac:dyDescent="0.55000000000000004">
      <c r="A1" s="316" t="s">
        <v>146</v>
      </c>
      <c r="D1" s="211"/>
      <c r="E1"/>
      <c r="F1"/>
      <c r="H1" s="212"/>
      <c r="I1" s="212"/>
    </row>
    <row r="2" spans="1:13" s="47" customFormat="1" ht="44" customHeight="1" thickBot="1" x14ac:dyDescent="0.4">
      <c r="B2" s="386" t="s">
        <v>138</v>
      </c>
      <c r="C2" s="387"/>
      <c r="D2" s="388" t="s">
        <v>135</v>
      </c>
      <c r="E2" s="389"/>
      <c r="F2" s="390"/>
      <c r="G2" s="224"/>
      <c r="H2" s="225" t="s">
        <v>23</v>
      </c>
      <c r="I2" s="226"/>
      <c r="J2" s="393" t="s">
        <v>136</v>
      </c>
      <c r="K2" s="394"/>
      <c r="L2" s="391" t="s">
        <v>137</v>
      </c>
      <c r="M2" s="392"/>
    </row>
    <row r="3" spans="1:13" x14ac:dyDescent="0.35">
      <c r="A3" s="200">
        <v>1</v>
      </c>
      <c r="B3" s="243">
        <v>5.3</v>
      </c>
      <c r="C3" s="148">
        <v>3.7</v>
      </c>
      <c r="D3" s="244" t="s">
        <v>77</v>
      </c>
      <c r="E3" s="245">
        <v>25.3</v>
      </c>
      <c r="F3" s="246">
        <v>20.8</v>
      </c>
      <c r="G3" s="227" t="s">
        <v>13</v>
      </c>
      <c r="H3" s="247">
        <v>46.7</v>
      </c>
      <c r="I3" s="246">
        <v>38.200000000000003</v>
      </c>
      <c r="J3" s="248">
        <v>148</v>
      </c>
      <c r="K3" s="236">
        <v>148</v>
      </c>
      <c r="L3" s="249">
        <v>7</v>
      </c>
      <c r="M3" s="240">
        <v>8.6</v>
      </c>
    </row>
    <row r="4" spans="1:13" x14ac:dyDescent="0.35">
      <c r="A4" s="201">
        <v>2</v>
      </c>
      <c r="B4" s="250">
        <v>4.7</v>
      </c>
      <c r="C4" s="130">
        <v>3.8</v>
      </c>
      <c r="D4" s="219" t="s">
        <v>78</v>
      </c>
      <c r="E4" s="214">
        <v>23.5</v>
      </c>
      <c r="F4" s="220">
        <v>19.899999999999999</v>
      </c>
      <c r="G4" s="228" t="s">
        <v>14</v>
      </c>
      <c r="H4" s="215">
        <v>49.2</v>
      </c>
      <c r="I4" s="220">
        <v>39.299999999999997</v>
      </c>
      <c r="J4" s="235">
        <v>156</v>
      </c>
      <c r="K4" s="237">
        <v>153</v>
      </c>
      <c r="L4" s="238">
        <v>5.3</v>
      </c>
      <c r="M4" s="241">
        <v>7.6</v>
      </c>
    </row>
    <row r="5" spans="1:13" x14ac:dyDescent="0.35">
      <c r="A5" s="201">
        <v>3</v>
      </c>
      <c r="B5" s="250">
        <v>5.2</v>
      </c>
      <c r="C5" s="130">
        <v>4.2</v>
      </c>
      <c r="D5" s="219" t="s">
        <v>79</v>
      </c>
      <c r="E5" s="214">
        <v>27</v>
      </c>
      <c r="F5" s="220">
        <v>21.7</v>
      </c>
      <c r="G5" s="228" t="s">
        <v>15</v>
      </c>
      <c r="H5" s="215">
        <v>50.8</v>
      </c>
      <c r="I5" s="220">
        <v>40.4</v>
      </c>
      <c r="J5" s="235">
        <v>142</v>
      </c>
      <c r="K5" s="237">
        <v>144</v>
      </c>
      <c r="L5" s="238">
        <v>8.6999999999999993</v>
      </c>
      <c r="M5" s="241">
        <v>9.1999999999999993</v>
      </c>
    </row>
    <row r="6" spans="1:13" x14ac:dyDescent="0.35">
      <c r="A6" s="201">
        <v>4</v>
      </c>
      <c r="B6" s="250">
        <v>5.5</v>
      </c>
      <c r="C6" s="130">
        <v>4.3</v>
      </c>
      <c r="D6" s="219" t="s">
        <v>80</v>
      </c>
      <c r="E6" s="214">
        <v>26.7</v>
      </c>
      <c r="F6" s="220">
        <v>22.3</v>
      </c>
      <c r="G6" s="228" t="s">
        <v>19</v>
      </c>
      <c r="H6" s="215">
        <v>50.8</v>
      </c>
      <c r="I6" s="220">
        <v>41.8</v>
      </c>
      <c r="J6" s="235">
        <v>160</v>
      </c>
      <c r="K6" s="237">
        <v>167</v>
      </c>
      <c r="L6" s="238">
        <v>3.9</v>
      </c>
      <c r="M6" s="241">
        <v>7</v>
      </c>
    </row>
    <row r="7" spans="1:13" x14ac:dyDescent="0.35">
      <c r="A7" s="201">
        <v>5</v>
      </c>
      <c r="B7" s="250">
        <v>4.5</v>
      </c>
      <c r="C7" s="130">
        <v>3.6</v>
      </c>
      <c r="D7" s="219" t="s">
        <v>81</v>
      </c>
      <c r="E7" s="214">
        <v>25.6</v>
      </c>
      <c r="F7" s="220">
        <v>20.399999999999999</v>
      </c>
      <c r="G7" s="228" t="s">
        <v>20</v>
      </c>
      <c r="H7" s="215">
        <v>41.6</v>
      </c>
      <c r="I7" s="220">
        <v>42.8</v>
      </c>
      <c r="J7" s="235">
        <v>130</v>
      </c>
      <c r="K7" s="237">
        <v>120</v>
      </c>
      <c r="L7" s="238">
        <v>9.5</v>
      </c>
      <c r="M7" s="241">
        <v>11</v>
      </c>
    </row>
    <row r="8" spans="1:13" x14ac:dyDescent="0.35">
      <c r="A8" s="201">
        <v>6</v>
      </c>
      <c r="B8" s="250">
        <v>-3.9</v>
      </c>
      <c r="C8" s="130">
        <v>3.1</v>
      </c>
      <c r="D8" s="219" t="s">
        <v>82</v>
      </c>
      <c r="E8" s="214">
        <v>23</v>
      </c>
      <c r="F8" s="220">
        <v>19.100000000000001</v>
      </c>
      <c r="G8" s="229" t="s">
        <v>97</v>
      </c>
      <c r="H8" s="215">
        <v>42.2</v>
      </c>
      <c r="I8" s="220">
        <v>34.5</v>
      </c>
      <c r="J8" s="235">
        <v>133</v>
      </c>
      <c r="K8" s="237">
        <v>134</v>
      </c>
      <c r="L8" s="238">
        <v>8.9</v>
      </c>
      <c r="M8" s="241">
        <v>9.8000000000000007</v>
      </c>
    </row>
    <row r="9" spans="1:13" x14ac:dyDescent="0.35">
      <c r="A9" s="201">
        <v>7</v>
      </c>
      <c r="B9" s="250">
        <v>5</v>
      </c>
      <c r="C9" s="130">
        <v>3.6</v>
      </c>
      <c r="D9" s="219" t="s">
        <v>100</v>
      </c>
      <c r="E9" s="214">
        <v>22.8</v>
      </c>
      <c r="F9" s="220">
        <v>19.8</v>
      </c>
      <c r="G9" s="228" t="s">
        <v>98</v>
      </c>
      <c r="H9" s="215">
        <v>42.5</v>
      </c>
      <c r="I9" s="220">
        <v>35.299999999999997</v>
      </c>
      <c r="J9" s="235">
        <v>135</v>
      </c>
      <c r="K9" s="237">
        <v>136</v>
      </c>
      <c r="L9" s="238">
        <v>8.6999999999999993</v>
      </c>
      <c r="M9" s="241">
        <v>9.3000000000000007</v>
      </c>
    </row>
    <row r="10" spans="1:13" x14ac:dyDescent="0.35">
      <c r="A10" s="201">
        <v>8</v>
      </c>
      <c r="B10" s="250">
        <v>4.8</v>
      </c>
      <c r="C10" s="131">
        <v>4.8</v>
      </c>
      <c r="D10" s="219" t="s">
        <v>101</v>
      </c>
      <c r="E10" s="214">
        <v>22.5</v>
      </c>
      <c r="F10" s="220">
        <v>19</v>
      </c>
      <c r="G10" s="228" t="s">
        <v>99</v>
      </c>
      <c r="H10" s="215">
        <v>42.7</v>
      </c>
      <c r="I10" s="220">
        <v>39.1</v>
      </c>
      <c r="J10" s="235">
        <v>138</v>
      </c>
      <c r="K10" s="237">
        <v>142</v>
      </c>
      <c r="L10" s="239" t="s">
        <v>83</v>
      </c>
      <c r="M10" s="241">
        <v>9.6999999999999993</v>
      </c>
    </row>
    <row r="11" spans="1:13" x14ac:dyDescent="0.35">
      <c r="A11" s="201">
        <v>9</v>
      </c>
      <c r="B11" s="222" t="s">
        <v>83</v>
      </c>
      <c r="C11" s="133">
        <v>2.9</v>
      </c>
      <c r="D11" s="221" t="s">
        <v>102</v>
      </c>
      <c r="E11" s="214">
        <v>5.3</v>
      </c>
      <c r="F11" s="222">
        <v>22.7</v>
      </c>
      <c r="G11" s="230" t="s">
        <v>83</v>
      </c>
      <c r="H11" s="216"/>
      <c r="I11" s="222" t="s">
        <v>83</v>
      </c>
      <c r="J11" s="238"/>
      <c r="K11" s="239" t="s">
        <v>83</v>
      </c>
      <c r="L11" s="231"/>
      <c r="M11" s="136" t="s">
        <v>83</v>
      </c>
    </row>
    <row r="12" spans="1:13" ht="15" thickBot="1" x14ac:dyDescent="0.4">
      <c r="A12" s="251">
        <v>10</v>
      </c>
      <c r="B12" s="252"/>
      <c r="C12" s="253">
        <v>3.8</v>
      </c>
      <c r="D12" s="223"/>
      <c r="E12" s="254"/>
      <c r="F12" s="255"/>
      <c r="G12" s="232"/>
      <c r="H12" s="233"/>
      <c r="I12" s="234"/>
      <c r="J12" s="256"/>
      <c r="K12" s="263"/>
      <c r="L12" s="264"/>
      <c r="M12" s="263"/>
    </row>
    <row r="13" spans="1:13" ht="15" thickBot="1" x14ac:dyDescent="0.4">
      <c r="A13" s="138" t="s">
        <v>5</v>
      </c>
      <c r="B13" s="267">
        <v>3.8</v>
      </c>
      <c r="C13" s="139">
        <v>3.8</v>
      </c>
      <c r="D13" s="257"/>
      <c r="E13" s="265">
        <v>22.41</v>
      </c>
      <c r="F13" s="258">
        <v>20.63</v>
      </c>
      <c r="G13" s="259"/>
      <c r="H13" s="266">
        <v>45.8</v>
      </c>
      <c r="I13" s="260">
        <v>38.924999999999997</v>
      </c>
      <c r="J13" s="261">
        <v>142.75</v>
      </c>
      <c r="K13" s="209">
        <v>143</v>
      </c>
      <c r="L13" s="262" t="s">
        <v>139</v>
      </c>
      <c r="M13" s="209">
        <v>9</v>
      </c>
    </row>
    <row r="14" spans="1:13" x14ac:dyDescent="0.35">
      <c r="A14" s="217" t="s">
        <v>147</v>
      </c>
      <c r="E14" s="213"/>
    </row>
    <row r="15" spans="1:13" ht="15" thickBot="1" x14ac:dyDescent="0.4">
      <c r="A15" s="218" t="s">
        <v>144</v>
      </c>
      <c r="L15" s="242" t="s">
        <v>143</v>
      </c>
    </row>
  </sheetData>
  <mergeCells count="4">
    <mergeCell ref="B2:C2"/>
    <mergeCell ref="D2:F2"/>
    <mergeCell ref="L2:M2"/>
    <mergeCell ref="J2:K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Track data</vt:lpstr>
      <vt:lpstr>Trackway data</vt:lpstr>
      <vt:lpstr>Speeds</vt:lpstr>
      <vt:lpstr>Speed calculation sheet</vt:lpstr>
      <vt:lpstr>S&amp;B 2000 vs 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Miengah</dc:creator>
  <cp:lastModifiedBy>Emese Bordy</cp:lastModifiedBy>
  <dcterms:created xsi:type="dcterms:W3CDTF">2018-02-26T09:33:54Z</dcterms:created>
  <dcterms:modified xsi:type="dcterms:W3CDTF">2019-07-30T23:46:54Z</dcterms:modified>
</cp:coreProperties>
</file>