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blm-fis-01\userdata\gcumiskey\MyDesktop\"/>
    </mc:Choice>
  </mc:AlternateContent>
  <xr:revisionPtr revIDLastSave="0" documentId="13_ncr:1_{0ADF4711-FF94-4FE1-8732-4731B6721A9D}" xr6:coauthVersionLast="36" xr6:coauthVersionMax="36" xr10:uidLastSave="{00000000-0000-0000-0000-000000000000}"/>
  <bookViews>
    <workbookView xWindow="0" yWindow="0" windowWidth="19200" windowHeight="8150" activeTab="1" xr2:uid="{00000000-000D-0000-FFFF-FFFF00000000}"/>
  </bookViews>
  <sheets>
    <sheet name="Twitter Archiver Logs" sheetId="2" r:id="rId1"/>
    <sheet name="#MADM2018 langen -filterretweet" sheetId="3"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98" i="3" l="1"/>
  <c r="I498" i="3"/>
  <c r="U497" i="3"/>
  <c r="K497" i="3"/>
  <c r="E497" i="3"/>
  <c r="B497" i="3"/>
  <c r="U496" i="3"/>
  <c r="K496" i="3"/>
  <c r="E496" i="3"/>
  <c r="B496" i="3"/>
  <c r="U495" i="3"/>
  <c r="K495" i="3"/>
  <c r="E495" i="3"/>
  <c r="B495" i="3"/>
  <c r="U494" i="3"/>
  <c r="K494" i="3"/>
  <c r="E494" i="3"/>
  <c r="B494" i="3"/>
  <c r="U493" i="3"/>
  <c r="K493" i="3"/>
  <c r="E493" i="3"/>
  <c r="B493" i="3"/>
  <c r="U492" i="3"/>
  <c r="K492" i="3"/>
  <c r="E492" i="3"/>
  <c r="B492" i="3"/>
  <c r="U491" i="3"/>
  <c r="K491" i="3"/>
  <c r="E491" i="3"/>
  <c r="B491" i="3"/>
  <c r="U490" i="3"/>
  <c r="K490" i="3"/>
  <c r="E490" i="3"/>
  <c r="B490" i="3"/>
  <c r="U489" i="3"/>
  <c r="K489" i="3"/>
  <c r="E489" i="3"/>
  <c r="B489" i="3"/>
  <c r="U488" i="3"/>
  <c r="K488" i="3"/>
  <c r="E488" i="3"/>
  <c r="B488" i="3"/>
  <c r="U487" i="3"/>
  <c r="K487" i="3"/>
  <c r="E487" i="3"/>
  <c r="B487" i="3"/>
  <c r="U486" i="3"/>
  <c r="K486" i="3"/>
  <c r="E486" i="3"/>
  <c r="B486" i="3"/>
  <c r="U485" i="3"/>
  <c r="K485" i="3"/>
  <c r="E485" i="3"/>
  <c r="B485" i="3"/>
  <c r="U484" i="3"/>
  <c r="K484" i="3"/>
  <c r="E484" i="3"/>
  <c r="B484" i="3"/>
  <c r="U483" i="3"/>
  <c r="K483" i="3"/>
  <c r="E483" i="3"/>
  <c r="B483" i="3"/>
  <c r="U482" i="3"/>
  <c r="K482" i="3"/>
  <c r="E482" i="3"/>
  <c r="B482" i="3"/>
  <c r="U481" i="3"/>
  <c r="K481" i="3"/>
  <c r="E481" i="3"/>
  <c r="B481" i="3"/>
  <c r="U480" i="3"/>
  <c r="K480" i="3"/>
  <c r="E480" i="3"/>
  <c r="B480" i="3"/>
  <c r="U479" i="3"/>
  <c r="K479" i="3"/>
  <c r="E479" i="3"/>
  <c r="B479" i="3"/>
  <c r="U478" i="3"/>
  <c r="K478" i="3"/>
  <c r="E478" i="3"/>
  <c r="B478" i="3"/>
  <c r="U477" i="3"/>
  <c r="K477" i="3"/>
  <c r="E477" i="3"/>
  <c r="B477" i="3"/>
  <c r="U476" i="3"/>
  <c r="K476" i="3"/>
  <c r="E476" i="3"/>
  <c r="B476" i="3"/>
  <c r="U475" i="3"/>
  <c r="K475" i="3"/>
  <c r="E475" i="3"/>
  <c r="B475" i="3"/>
  <c r="U474" i="3"/>
  <c r="K474" i="3"/>
  <c r="E474" i="3"/>
  <c r="B474" i="3"/>
  <c r="U473" i="3"/>
  <c r="K473" i="3"/>
  <c r="E473" i="3"/>
  <c r="B473" i="3"/>
  <c r="U472" i="3"/>
  <c r="K472" i="3"/>
  <c r="E472" i="3"/>
  <c r="B472" i="3"/>
  <c r="U471" i="3"/>
  <c r="K471" i="3"/>
  <c r="E471" i="3"/>
  <c r="B471" i="3"/>
  <c r="U470" i="3"/>
  <c r="K470" i="3"/>
  <c r="E470" i="3"/>
  <c r="B470" i="3"/>
  <c r="U469" i="3"/>
  <c r="K469" i="3"/>
  <c r="E469" i="3"/>
  <c r="B469" i="3"/>
  <c r="U468" i="3"/>
  <c r="K468" i="3"/>
  <c r="E468" i="3"/>
  <c r="B468" i="3"/>
  <c r="U467" i="3"/>
  <c r="K467" i="3"/>
  <c r="E467" i="3"/>
  <c r="B467" i="3"/>
  <c r="U466" i="3"/>
  <c r="K466" i="3"/>
  <c r="E466" i="3"/>
  <c r="B466" i="3"/>
  <c r="U465" i="3"/>
  <c r="K465" i="3"/>
  <c r="E465" i="3"/>
  <c r="B465" i="3"/>
  <c r="U464" i="3"/>
  <c r="K464" i="3"/>
  <c r="E464" i="3"/>
  <c r="B464" i="3"/>
  <c r="U463" i="3"/>
  <c r="K463" i="3"/>
  <c r="E463" i="3"/>
  <c r="B463" i="3"/>
  <c r="U462" i="3"/>
  <c r="K462" i="3"/>
  <c r="E462" i="3"/>
  <c r="B462" i="3"/>
  <c r="U461" i="3"/>
  <c r="K461" i="3"/>
  <c r="E461" i="3"/>
  <c r="B461" i="3"/>
  <c r="U460" i="3"/>
  <c r="K460" i="3"/>
  <c r="E460" i="3"/>
  <c r="B460" i="3"/>
  <c r="U459" i="3"/>
  <c r="K459" i="3"/>
  <c r="E459" i="3"/>
  <c r="B459" i="3"/>
  <c r="U458" i="3"/>
  <c r="K458" i="3"/>
  <c r="E458" i="3"/>
  <c r="B458" i="3"/>
  <c r="U457" i="3"/>
  <c r="K457" i="3"/>
  <c r="E457" i="3"/>
  <c r="B457" i="3"/>
  <c r="U456" i="3"/>
  <c r="K456" i="3"/>
  <c r="E456" i="3"/>
  <c r="B456" i="3"/>
  <c r="U455" i="3"/>
  <c r="K455" i="3"/>
  <c r="E455" i="3"/>
  <c r="B455" i="3"/>
  <c r="U454" i="3"/>
  <c r="K454" i="3"/>
  <c r="E454" i="3"/>
  <c r="B454" i="3"/>
  <c r="U453" i="3"/>
  <c r="K453" i="3"/>
  <c r="E453" i="3"/>
  <c r="B453" i="3"/>
  <c r="U452" i="3"/>
  <c r="K452" i="3"/>
  <c r="E452" i="3"/>
  <c r="B452" i="3"/>
  <c r="U451" i="3"/>
  <c r="K451" i="3"/>
  <c r="E451" i="3"/>
  <c r="B451" i="3"/>
  <c r="U450" i="3"/>
  <c r="K450" i="3"/>
  <c r="E450" i="3"/>
  <c r="B450" i="3"/>
  <c r="U449" i="3"/>
  <c r="K449" i="3"/>
  <c r="E449" i="3"/>
  <c r="B449" i="3"/>
  <c r="U448" i="3"/>
  <c r="K448" i="3"/>
  <c r="E448" i="3"/>
  <c r="B448" i="3"/>
  <c r="U447" i="3"/>
  <c r="K447" i="3"/>
  <c r="E447" i="3"/>
  <c r="B447" i="3"/>
  <c r="U446" i="3"/>
  <c r="K446" i="3"/>
  <c r="E446" i="3"/>
  <c r="B446" i="3"/>
  <c r="U445" i="3"/>
  <c r="K445" i="3"/>
  <c r="E445" i="3"/>
  <c r="B445" i="3"/>
  <c r="U444" i="3"/>
  <c r="K444" i="3"/>
  <c r="E444" i="3"/>
  <c r="B444" i="3"/>
  <c r="U443" i="3"/>
  <c r="K443" i="3"/>
  <c r="E443" i="3"/>
  <c r="B443" i="3"/>
  <c r="U442" i="3"/>
  <c r="K442" i="3"/>
  <c r="E442" i="3"/>
  <c r="B442" i="3"/>
  <c r="U441" i="3"/>
  <c r="K441" i="3"/>
  <c r="E441" i="3"/>
  <c r="B441" i="3"/>
  <c r="U440" i="3"/>
  <c r="K440" i="3"/>
  <c r="E440" i="3"/>
  <c r="B440" i="3"/>
  <c r="U439" i="3"/>
  <c r="K439" i="3"/>
  <c r="E439" i="3"/>
  <c r="B439" i="3"/>
  <c r="U438" i="3"/>
  <c r="K438" i="3"/>
  <c r="E438" i="3"/>
  <c r="B438" i="3"/>
  <c r="U437" i="3"/>
  <c r="K437" i="3"/>
  <c r="E437" i="3"/>
  <c r="B437" i="3"/>
  <c r="U436" i="3"/>
  <c r="K436" i="3"/>
  <c r="E436" i="3"/>
  <c r="B436" i="3"/>
  <c r="U435" i="3"/>
  <c r="K435" i="3"/>
  <c r="E435" i="3"/>
  <c r="B435" i="3"/>
  <c r="U434" i="3"/>
  <c r="K434" i="3"/>
  <c r="E434" i="3"/>
  <c r="B434" i="3"/>
  <c r="U433" i="3"/>
  <c r="K433" i="3"/>
  <c r="E433" i="3"/>
  <c r="B433" i="3"/>
  <c r="U432" i="3"/>
  <c r="K432" i="3"/>
  <c r="E432" i="3"/>
  <c r="B432" i="3"/>
  <c r="U431" i="3"/>
  <c r="K431" i="3"/>
  <c r="E431" i="3"/>
  <c r="B431" i="3"/>
  <c r="U430" i="3"/>
  <c r="K430" i="3"/>
  <c r="E430" i="3"/>
  <c r="B430" i="3"/>
  <c r="U429" i="3"/>
  <c r="K429" i="3"/>
  <c r="E429" i="3"/>
  <c r="B429" i="3"/>
  <c r="U428" i="3"/>
  <c r="K428" i="3"/>
  <c r="E428" i="3"/>
  <c r="B428" i="3"/>
  <c r="U427" i="3"/>
  <c r="K427" i="3"/>
  <c r="E427" i="3"/>
  <c r="B427" i="3"/>
  <c r="U426" i="3"/>
  <c r="K426" i="3"/>
  <c r="E426" i="3"/>
  <c r="B426" i="3"/>
  <c r="U425" i="3"/>
  <c r="K425" i="3"/>
  <c r="E425" i="3"/>
  <c r="B425" i="3"/>
  <c r="K424" i="3"/>
  <c r="E424" i="3"/>
  <c r="B424" i="3"/>
  <c r="U423" i="3"/>
  <c r="K423" i="3"/>
  <c r="E423" i="3"/>
  <c r="B423" i="3"/>
  <c r="U422" i="3"/>
  <c r="K422" i="3"/>
  <c r="E422" i="3"/>
  <c r="B422" i="3"/>
  <c r="U421" i="3"/>
  <c r="K421" i="3"/>
  <c r="E421" i="3"/>
  <c r="B421" i="3"/>
  <c r="U420" i="3"/>
  <c r="K420" i="3"/>
  <c r="E420" i="3"/>
  <c r="B420" i="3"/>
  <c r="U419" i="3"/>
  <c r="K419" i="3"/>
  <c r="E419" i="3"/>
  <c r="B419" i="3"/>
  <c r="U418" i="3"/>
  <c r="K418" i="3"/>
  <c r="E418" i="3"/>
  <c r="B418" i="3"/>
  <c r="U417" i="3"/>
  <c r="K417" i="3"/>
  <c r="E417" i="3"/>
  <c r="B417" i="3"/>
  <c r="U416" i="3"/>
  <c r="K416" i="3"/>
  <c r="E416" i="3"/>
  <c r="B416" i="3"/>
  <c r="U415" i="3"/>
  <c r="K415" i="3"/>
  <c r="E415" i="3"/>
  <c r="B415" i="3"/>
  <c r="U414" i="3"/>
  <c r="K414" i="3"/>
  <c r="E414" i="3"/>
  <c r="B414" i="3"/>
  <c r="U413" i="3"/>
  <c r="K413" i="3"/>
  <c r="E413" i="3"/>
  <c r="B413" i="3"/>
  <c r="U412" i="3"/>
  <c r="K412" i="3"/>
  <c r="E412" i="3"/>
  <c r="B412" i="3"/>
  <c r="U411" i="3"/>
  <c r="K411" i="3"/>
  <c r="E411" i="3"/>
  <c r="B411" i="3"/>
  <c r="U410" i="3"/>
  <c r="K410" i="3"/>
  <c r="E410" i="3"/>
  <c r="B410" i="3"/>
  <c r="U409" i="3"/>
  <c r="K409" i="3"/>
  <c r="E409" i="3"/>
  <c r="B409" i="3"/>
  <c r="U408" i="3"/>
  <c r="K408" i="3"/>
  <c r="E408" i="3"/>
  <c r="B408" i="3"/>
  <c r="U407" i="3"/>
  <c r="K407" i="3"/>
  <c r="E407" i="3"/>
  <c r="B407" i="3"/>
  <c r="U406" i="3"/>
  <c r="K406" i="3"/>
  <c r="E406" i="3"/>
  <c r="B406" i="3"/>
  <c r="U405" i="3"/>
  <c r="K405" i="3"/>
  <c r="E405" i="3"/>
  <c r="B405" i="3"/>
  <c r="U404" i="3"/>
  <c r="K404" i="3"/>
  <c r="E404" i="3"/>
  <c r="B404" i="3"/>
  <c r="U403" i="3"/>
  <c r="K403" i="3"/>
  <c r="E403" i="3"/>
  <c r="B403" i="3"/>
  <c r="U402" i="3"/>
  <c r="K402" i="3"/>
  <c r="E402" i="3"/>
  <c r="B402" i="3"/>
  <c r="U401" i="3"/>
  <c r="K401" i="3"/>
  <c r="E401" i="3"/>
  <c r="B401" i="3"/>
  <c r="U400" i="3"/>
  <c r="K400" i="3"/>
  <c r="E400" i="3"/>
  <c r="B400" i="3"/>
  <c r="U399" i="3"/>
  <c r="K399" i="3"/>
  <c r="E399" i="3"/>
  <c r="B399" i="3"/>
  <c r="U398" i="3"/>
  <c r="K398" i="3"/>
  <c r="E398" i="3"/>
  <c r="B398" i="3"/>
  <c r="U397" i="3"/>
  <c r="K397" i="3"/>
  <c r="E397" i="3"/>
  <c r="B397" i="3"/>
  <c r="U396" i="3"/>
  <c r="K396" i="3"/>
  <c r="E396" i="3"/>
  <c r="B396" i="3"/>
  <c r="U395" i="3"/>
  <c r="K395" i="3"/>
  <c r="E395" i="3"/>
  <c r="B395" i="3"/>
  <c r="U394" i="3"/>
  <c r="K394" i="3"/>
  <c r="E394" i="3"/>
  <c r="B394" i="3"/>
  <c r="U393" i="3"/>
  <c r="K393" i="3"/>
  <c r="E393" i="3"/>
  <c r="B393" i="3"/>
  <c r="U392" i="3"/>
  <c r="K392" i="3"/>
  <c r="E392" i="3"/>
  <c r="B392" i="3"/>
  <c r="U391" i="3"/>
  <c r="K391" i="3"/>
  <c r="E391" i="3"/>
  <c r="B391" i="3"/>
  <c r="U390" i="3"/>
  <c r="K390" i="3"/>
  <c r="E390" i="3"/>
  <c r="B390" i="3"/>
  <c r="U389" i="3"/>
  <c r="K389" i="3"/>
  <c r="E389" i="3"/>
  <c r="B389" i="3"/>
  <c r="U388" i="3"/>
  <c r="K388" i="3"/>
  <c r="E388" i="3"/>
  <c r="B388" i="3"/>
  <c r="U387" i="3"/>
  <c r="K387" i="3"/>
  <c r="E387" i="3"/>
  <c r="B387" i="3"/>
  <c r="U386" i="3"/>
  <c r="K386" i="3"/>
  <c r="E386" i="3"/>
  <c r="B386" i="3"/>
  <c r="U385" i="3"/>
  <c r="K385" i="3"/>
  <c r="E385" i="3"/>
  <c r="B385" i="3"/>
  <c r="U384" i="3"/>
  <c r="K384" i="3"/>
  <c r="E384" i="3"/>
  <c r="B384" i="3"/>
  <c r="U383" i="3"/>
  <c r="K383" i="3"/>
  <c r="E383" i="3"/>
  <c r="B383" i="3"/>
  <c r="U382" i="3"/>
  <c r="K382" i="3"/>
  <c r="E382" i="3"/>
  <c r="B382" i="3"/>
  <c r="U381" i="3"/>
  <c r="K381" i="3"/>
  <c r="E381" i="3"/>
  <c r="B381" i="3"/>
  <c r="U380" i="3"/>
  <c r="K380" i="3"/>
  <c r="E380" i="3"/>
  <c r="B380" i="3"/>
  <c r="U379" i="3"/>
  <c r="K379" i="3"/>
  <c r="E379" i="3"/>
  <c r="B379" i="3"/>
  <c r="U378" i="3"/>
  <c r="K378" i="3"/>
  <c r="E378" i="3"/>
  <c r="B378" i="3"/>
  <c r="U377" i="3"/>
  <c r="K377" i="3"/>
  <c r="E377" i="3"/>
  <c r="B377" i="3"/>
  <c r="U376" i="3"/>
  <c r="K376" i="3"/>
  <c r="E376" i="3"/>
  <c r="B376" i="3"/>
  <c r="U375" i="3"/>
  <c r="K375" i="3"/>
  <c r="E375" i="3"/>
  <c r="B375" i="3"/>
  <c r="U374" i="3"/>
  <c r="K374" i="3"/>
  <c r="E374" i="3"/>
  <c r="B374" i="3"/>
  <c r="U373" i="3"/>
  <c r="K373" i="3"/>
  <c r="E373" i="3"/>
  <c r="B373" i="3"/>
  <c r="U372" i="3"/>
  <c r="K372" i="3"/>
  <c r="E372" i="3"/>
  <c r="B372" i="3"/>
  <c r="U371" i="3"/>
  <c r="K371" i="3"/>
  <c r="E371" i="3"/>
  <c r="B371" i="3"/>
  <c r="U370" i="3"/>
  <c r="K370" i="3"/>
  <c r="E370" i="3"/>
  <c r="B370" i="3"/>
  <c r="U369" i="3"/>
  <c r="K369" i="3"/>
  <c r="E369" i="3"/>
  <c r="B369" i="3"/>
  <c r="U368" i="3"/>
  <c r="K368" i="3"/>
  <c r="E368" i="3"/>
  <c r="B368" i="3"/>
  <c r="U367" i="3"/>
  <c r="K367" i="3"/>
  <c r="E367" i="3"/>
  <c r="B367" i="3"/>
  <c r="U366" i="3"/>
  <c r="K366" i="3"/>
  <c r="E366" i="3"/>
  <c r="B366" i="3"/>
  <c r="U365" i="3"/>
  <c r="K365" i="3"/>
  <c r="E365" i="3"/>
  <c r="B365" i="3"/>
  <c r="U364" i="3"/>
  <c r="K364" i="3"/>
  <c r="E364" i="3"/>
  <c r="B364" i="3"/>
  <c r="U363" i="3"/>
  <c r="K363" i="3"/>
  <c r="E363" i="3"/>
  <c r="B363" i="3"/>
  <c r="U362" i="3"/>
  <c r="K362" i="3"/>
  <c r="E362" i="3"/>
  <c r="B362" i="3"/>
  <c r="U361" i="3"/>
  <c r="K361" i="3"/>
  <c r="E361" i="3"/>
  <c r="B361" i="3"/>
  <c r="U360" i="3"/>
  <c r="K360" i="3"/>
  <c r="E360" i="3"/>
  <c r="B360" i="3"/>
  <c r="U359" i="3"/>
  <c r="K359" i="3"/>
  <c r="E359" i="3"/>
  <c r="B359" i="3"/>
  <c r="U358" i="3"/>
  <c r="K358" i="3"/>
  <c r="E358" i="3"/>
  <c r="B358" i="3"/>
  <c r="U357" i="3"/>
  <c r="K357" i="3"/>
  <c r="E357" i="3"/>
  <c r="B357" i="3"/>
  <c r="U356" i="3"/>
  <c r="K356" i="3"/>
  <c r="E356" i="3"/>
  <c r="B356" i="3"/>
  <c r="U355" i="3"/>
  <c r="K355" i="3"/>
  <c r="E355" i="3"/>
  <c r="B355" i="3"/>
  <c r="U354" i="3"/>
  <c r="K354" i="3"/>
  <c r="E354" i="3"/>
  <c r="B354" i="3"/>
  <c r="U353" i="3"/>
  <c r="K353" i="3"/>
  <c r="E353" i="3"/>
  <c r="B353" i="3"/>
  <c r="U352" i="3"/>
  <c r="K352" i="3"/>
  <c r="E352" i="3"/>
  <c r="B352" i="3"/>
  <c r="U351" i="3"/>
  <c r="K351" i="3"/>
  <c r="E351" i="3"/>
  <c r="B351" i="3"/>
  <c r="U350" i="3"/>
  <c r="K350" i="3"/>
  <c r="E350" i="3"/>
  <c r="B350" i="3"/>
  <c r="U349" i="3"/>
  <c r="K349" i="3"/>
  <c r="E349" i="3"/>
  <c r="B349" i="3"/>
  <c r="U348" i="3"/>
  <c r="K348" i="3"/>
  <c r="E348" i="3"/>
  <c r="B348" i="3"/>
  <c r="U347" i="3"/>
  <c r="K347" i="3"/>
  <c r="E347" i="3"/>
  <c r="B347" i="3"/>
  <c r="U346" i="3"/>
  <c r="K346" i="3"/>
  <c r="E346" i="3"/>
  <c r="B346" i="3"/>
  <c r="U345" i="3"/>
  <c r="K345" i="3"/>
  <c r="E345" i="3"/>
  <c r="B345" i="3"/>
  <c r="U344" i="3"/>
  <c r="K344" i="3"/>
  <c r="E344" i="3"/>
  <c r="B344" i="3"/>
  <c r="U343" i="3"/>
  <c r="K343" i="3"/>
  <c r="E343" i="3"/>
  <c r="B343" i="3"/>
  <c r="U342" i="3"/>
  <c r="K342" i="3"/>
  <c r="E342" i="3"/>
  <c r="B342" i="3"/>
  <c r="U341" i="3"/>
  <c r="K341" i="3"/>
  <c r="E341" i="3"/>
  <c r="B341" i="3"/>
  <c r="U340" i="3"/>
  <c r="K340" i="3"/>
  <c r="E340" i="3"/>
  <c r="B340" i="3"/>
  <c r="U339" i="3"/>
  <c r="K339" i="3"/>
  <c r="E339" i="3"/>
  <c r="B339" i="3"/>
  <c r="U338" i="3"/>
  <c r="K338" i="3"/>
  <c r="E338" i="3"/>
  <c r="B338" i="3"/>
  <c r="U337" i="3"/>
  <c r="K337" i="3"/>
  <c r="E337" i="3"/>
  <c r="B337" i="3"/>
  <c r="U336" i="3"/>
  <c r="K336" i="3"/>
  <c r="E336" i="3"/>
  <c r="B336" i="3"/>
  <c r="U335" i="3"/>
  <c r="K335" i="3"/>
  <c r="E335" i="3"/>
  <c r="B335" i="3"/>
  <c r="U334" i="3"/>
  <c r="K334" i="3"/>
  <c r="E334" i="3"/>
  <c r="B334" i="3"/>
  <c r="U333" i="3"/>
  <c r="K333" i="3"/>
  <c r="E333" i="3"/>
  <c r="B333" i="3"/>
  <c r="U332" i="3"/>
  <c r="K332" i="3"/>
  <c r="E332" i="3"/>
  <c r="B332" i="3"/>
  <c r="U331" i="3"/>
  <c r="K331" i="3"/>
  <c r="E331" i="3"/>
  <c r="B331" i="3"/>
  <c r="U330" i="3"/>
  <c r="K330" i="3"/>
  <c r="E330" i="3"/>
  <c r="B330" i="3"/>
  <c r="U329" i="3"/>
  <c r="K329" i="3"/>
  <c r="E329" i="3"/>
  <c r="B329" i="3"/>
  <c r="U328" i="3"/>
  <c r="K328" i="3"/>
  <c r="E328" i="3"/>
  <c r="B328" i="3"/>
  <c r="U327" i="3"/>
  <c r="K327" i="3"/>
  <c r="E327" i="3"/>
  <c r="B327" i="3"/>
  <c r="U326" i="3"/>
  <c r="K326" i="3"/>
  <c r="E326" i="3"/>
  <c r="B326" i="3"/>
  <c r="U325" i="3"/>
  <c r="K325" i="3"/>
  <c r="E325" i="3"/>
  <c r="B325" i="3"/>
  <c r="U324" i="3"/>
  <c r="K324" i="3"/>
  <c r="E324" i="3"/>
  <c r="B324" i="3"/>
  <c r="U323" i="3"/>
  <c r="K323" i="3"/>
  <c r="E323" i="3"/>
  <c r="B323" i="3"/>
  <c r="U322" i="3"/>
  <c r="K322" i="3"/>
  <c r="E322" i="3"/>
  <c r="B322" i="3"/>
  <c r="U321" i="3"/>
  <c r="K321" i="3"/>
  <c r="E321" i="3"/>
  <c r="B321" i="3"/>
  <c r="U320" i="3"/>
  <c r="K320" i="3"/>
  <c r="E320" i="3"/>
  <c r="B320" i="3"/>
  <c r="U319" i="3"/>
  <c r="K319" i="3"/>
  <c r="E319" i="3"/>
  <c r="B319" i="3"/>
  <c r="U318" i="3"/>
  <c r="K318" i="3"/>
  <c r="E318" i="3"/>
  <c r="B318" i="3"/>
  <c r="U317" i="3"/>
  <c r="K317" i="3"/>
  <c r="E317" i="3"/>
  <c r="B317" i="3"/>
  <c r="U316" i="3"/>
  <c r="K316" i="3"/>
  <c r="E316" i="3"/>
  <c r="B316" i="3"/>
  <c r="U315" i="3"/>
  <c r="K315" i="3"/>
  <c r="E315" i="3"/>
  <c r="B315" i="3"/>
  <c r="U314" i="3"/>
  <c r="K314" i="3"/>
  <c r="E314" i="3"/>
  <c r="B314" i="3"/>
  <c r="U313" i="3"/>
  <c r="K313" i="3"/>
  <c r="E313" i="3"/>
  <c r="B313" i="3"/>
  <c r="U312" i="3"/>
  <c r="K312" i="3"/>
  <c r="E312" i="3"/>
  <c r="B312" i="3"/>
  <c r="U311" i="3"/>
  <c r="K311" i="3"/>
  <c r="E311" i="3"/>
  <c r="B311" i="3"/>
  <c r="U310" i="3"/>
  <c r="K310" i="3"/>
  <c r="E310" i="3"/>
  <c r="B310" i="3"/>
  <c r="U309" i="3"/>
  <c r="K309" i="3"/>
  <c r="E309" i="3"/>
  <c r="B309" i="3"/>
  <c r="U308" i="3"/>
  <c r="K308" i="3"/>
  <c r="E308" i="3"/>
  <c r="B308" i="3"/>
  <c r="U307" i="3"/>
  <c r="K307" i="3"/>
  <c r="E307" i="3"/>
  <c r="B307" i="3"/>
  <c r="U306" i="3"/>
  <c r="K306" i="3"/>
  <c r="E306" i="3"/>
  <c r="B306" i="3"/>
  <c r="U305" i="3"/>
  <c r="K305" i="3"/>
  <c r="E305" i="3"/>
  <c r="B305" i="3"/>
  <c r="U304" i="3"/>
  <c r="K304" i="3"/>
  <c r="E304" i="3"/>
  <c r="B304" i="3"/>
  <c r="U303" i="3"/>
  <c r="K303" i="3"/>
  <c r="E303" i="3"/>
  <c r="B303" i="3"/>
  <c r="U302" i="3"/>
  <c r="K302" i="3"/>
  <c r="E302" i="3"/>
  <c r="B302" i="3"/>
  <c r="U301" i="3"/>
  <c r="K301" i="3"/>
  <c r="E301" i="3"/>
  <c r="B301" i="3"/>
  <c r="U300" i="3"/>
  <c r="K300" i="3"/>
  <c r="E300" i="3"/>
  <c r="B300" i="3"/>
  <c r="U299" i="3"/>
  <c r="K299" i="3"/>
  <c r="E299" i="3"/>
  <c r="B299" i="3"/>
  <c r="U298" i="3"/>
  <c r="K298" i="3"/>
  <c r="E298" i="3"/>
  <c r="B298" i="3"/>
  <c r="U297" i="3"/>
  <c r="K297" i="3"/>
  <c r="E297" i="3"/>
  <c r="B297" i="3"/>
  <c r="U296" i="3"/>
  <c r="K296" i="3"/>
  <c r="E296" i="3"/>
  <c r="B296" i="3"/>
  <c r="U295" i="3"/>
  <c r="K295" i="3"/>
  <c r="E295" i="3"/>
  <c r="B295" i="3"/>
  <c r="U294" i="3"/>
  <c r="K294" i="3"/>
  <c r="E294" i="3"/>
  <c r="B294" i="3"/>
  <c r="U293" i="3"/>
  <c r="K293" i="3"/>
  <c r="E293" i="3"/>
  <c r="B293" i="3"/>
  <c r="U292" i="3"/>
  <c r="K292" i="3"/>
  <c r="E292" i="3"/>
  <c r="B292" i="3"/>
  <c r="U291" i="3"/>
  <c r="K291" i="3"/>
  <c r="E291" i="3"/>
  <c r="B291" i="3"/>
  <c r="U290" i="3"/>
  <c r="K290" i="3"/>
  <c r="E290" i="3"/>
  <c r="B290" i="3"/>
  <c r="U289" i="3"/>
  <c r="K289" i="3"/>
  <c r="E289" i="3"/>
  <c r="B289" i="3"/>
  <c r="U288" i="3"/>
  <c r="K288" i="3"/>
  <c r="E288" i="3"/>
  <c r="B288" i="3"/>
  <c r="U287" i="3"/>
  <c r="K287" i="3"/>
  <c r="E287" i="3"/>
  <c r="B287" i="3"/>
  <c r="U286" i="3"/>
  <c r="K286" i="3"/>
  <c r="E286" i="3"/>
  <c r="B286" i="3"/>
  <c r="U285" i="3"/>
  <c r="K285" i="3"/>
  <c r="E285" i="3"/>
  <c r="B285" i="3"/>
  <c r="U284" i="3"/>
  <c r="K284" i="3"/>
  <c r="E284" i="3"/>
  <c r="B284" i="3"/>
  <c r="U283" i="3"/>
  <c r="K283" i="3"/>
  <c r="E283" i="3"/>
  <c r="B283" i="3"/>
  <c r="U282" i="3"/>
  <c r="K282" i="3"/>
  <c r="E282" i="3"/>
  <c r="B282" i="3"/>
  <c r="U281" i="3"/>
  <c r="K281" i="3"/>
  <c r="E281" i="3"/>
  <c r="B281" i="3"/>
  <c r="U280" i="3"/>
  <c r="K280" i="3"/>
  <c r="E280" i="3"/>
  <c r="B280" i="3"/>
  <c r="U279" i="3"/>
  <c r="K279" i="3"/>
  <c r="E279" i="3"/>
  <c r="B279" i="3"/>
  <c r="U278" i="3"/>
  <c r="K278" i="3"/>
  <c r="E278" i="3"/>
  <c r="B278" i="3"/>
  <c r="U277" i="3"/>
  <c r="K277" i="3"/>
  <c r="E277" i="3"/>
  <c r="B277" i="3"/>
  <c r="U276" i="3"/>
  <c r="K276" i="3"/>
  <c r="E276" i="3"/>
  <c r="B276" i="3"/>
  <c r="U275" i="3"/>
  <c r="K275" i="3"/>
  <c r="E275" i="3"/>
  <c r="B275" i="3"/>
  <c r="U274" i="3"/>
  <c r="K274" i="3"/>
  <c r="E274" i="3"/>
  <c r="B274" i="3"/>
  <c r="U273" i="3"/>
  <c r="K273" i="3"/>
  <c r="E273" i="3"/>
  <c r="B273" i="3"/>
  <c r="U272" i="3"/>
  <c r="K272" i="3"/>
  <c r="E272" i="3"/>
  <c r="B272" i="3"/>
  <c r="U271" i="3"/>
  <c r="K271" i="3"/>
  <c r="E271" i="3"/>
  <c r="B271" i="3"/>
  <c r="U270" i="3"/>
  <c r="K270" i="3"/>
  <c r="E270" i="3"/>
  <c r="B270" i="3"/>
  <c r="U269" i="3"/>
  <c r="K269" i="3"/>
  <c r="E269" i="3"/>
  <c r="B269" i="3"/>
  <c r="U268" i="3"/>
  <c r="K268" i="3"/>
  <c r="E268" i="3"/>
  <c r="B268" i="3"/>
  <c r="U267" i="3"/>
  <c r="K267" i="3"/>
  <c r="E267" i="3"/>
  <c r="B267" i="3"/>
  <c r="U266" i="3"/>
  <c r="K266" i="3"/>
  <c r="E266" i="3"/>
  <c r="B266" i="3"/>
  <c r="U265" i="3"/>
  <c r="K265" i="3"/>
  <c r="E265" i="3"/>
  <c r="B265" i="3"/>
  <c r="U264" i="3"/>
  <c r="K264" i="3"/>
  <c r="E264" i="3"/>
  <c r="B264" i="3"/>
  <c r="U263" i="3"/>
  <c r="K263" i="3"/>
  <c r="E263" i="3"/>
  <c r="B263" i="3"/>
  <c r="U262" i="3"/>
  <c r="K262" i="3"/>
  <c r="E262" i="3"/>
  <c r="B262" i="3"/>
  <c r="U261" i="3"/>
  <c r="K261" i="3"/>
  <c r="E261" i="3"/>
  <c r="B261" i="3"/>
  <c r="U260" i="3"/>
  <c r="K260" i="3"/>
  <c r="E260" i="3"/>
  <c r="B260" i="3"/>
  <c r="U259" i="3"/>
  <c r="K259" i="3"/>
  <c r="E259" i="3"/>
  <c r="B259" i="3"/>
  <c r="U258" i="3"/>
  <c r="K258" i="3"/>
  <c r="E258" i="3"/>
  <c r="B258" i="3"/>
  <c r="U257" i="3"/>
  <c r="K257" i="3"/>
  <c r="E257" i="3"/>
  <c r="B257" i="3"/>
  <c r="U256" i="3"/>
  <c r="K256" i="3"/>
  <c r="E256" i="3"/>
  <c r="B256" i="3"/>
  <c r="U255" i="3"/>
  <c r="K255" i="3"/>
  <c r="E255" i="3"/>
  <c r="B255" i="3"/>
  <c r="U254" i="3"/>
  <c r="K254" i="3"/>
  <c r="E254" i="3"/>
  <c r="B254" i="3"/>
  <c r="U253" i="3"/>
  <c r="K253" i="3"/>
  <c r="E253" i="3"/>
  <c r="B253" i="3"/>
  <c r="U252" i="3"/>
  <c r="K252" i="3"/>
  <c r="E252" i="3"/>
  <c r="B252" i="3"/>
  <c r="U251" i="3"/>
  <c r="K251" i="3"/>
  <c r="E251" i="3"/>
  <c r="B251" i="3"/>
  <c r="U250" i="3"/>
  <c r="K250" i="3"/>
  <c r="E250" i="3"/>
  <c r="B250" i="3"/>
  <c r="U249" i="3"/>
  <c r="K249" i="3"/>
  <c r="E249" i="3"/>
  <c r="B249" i="3"/>
  <c r="U248" i="3"/>
  <c r="K248" i="3"/>
  <c r="E248" i="3"/>
  <c r="B248" i="3"/>
  <c r="U247" i="3"/>
  <c r="K247" i="3"/>
  <c r="E247" i="3"/>
  <c r="B247" i="3"/>
  <c r="U246" i="3"/>
  <c r="K246" i="3"/>
  <c r="E246" i="3"/>
  <c r="B246" i="3"/>
  <c r="U245" i="3"/>
  <c r="K245" i="3"/>
  <c r="E245" i="3"/>
  <c r="B245" i="3"/>
  <c r="U244" i="3"/>
  <c r="K244" i="3"/>
  <c r="E244" i="3"/>
  <c r="B244" i="3"/>
  <c r="U243" i="3"/>
  <c r="K243" i="3"/>
  <c r="E243" i="3"/>
  <c r="B243" i="3"/>
  <c r="U242" i="3"/>
  <c r="K242" i="3"/>
  <c r="E242" i="3"/>
  <c r="B242" i="3"/>
  <c r="U241" i="3"/>
  <c r="K241" i="3"/>
  <c r="E241" i="3"/>
  <c r="B241" i="3"/>
  <c r="U240" i="3"/>
  <c r="K240" i="3"/>
  <c r="E240" i="3"/>
  <c r="B240" i="3"/>
  <c r="U239" i="3"/>
  <c r="K239" i="3"/>
  <c r="E239" i="3"/>
  <c r="B239" i="3"/>
  <c r="U238" i="3"/>
  <c r="K238" i="3"/>
  <c r="E238" i="3"/>
  <c r="B238" i="3"/>
  <c r="U237" i="3"/>
  <c r="K237" i="3"/>
  <c r="E237" i="3"/>
  <c r="B237" i="3"/>
  <c r="U236" i="3"/>
  <c r="K236" i="3"/>
  <c r="E236" i="3"/>
  <c r="B236" i="3"/>
  <c r="U235" i="3"/>
  <c r="K235" i="3"/>
  <c r="E235" i="3"/>
  <c r="B235" i="3"/>
  <c r="U234" i="3"/>
  <c r="K234" i="3"/>
  <c r="E234" i="3"/>
  <c r="B234" i="3"/>
  <c r="U233" i="3"/>
  <c r="K233" i="3"/>
  <c r="E233" i="3"/>
  <c r="B233" i="3"/>
  <c r="U232" i="3"/>
  <c r="K232" i="3"/>
  <c r="E232" i="3"/>
  <c r="B232" i="3"/>
  <c r="U231" i="3"/>
  <c r="K231" i="3"/>
  <c r="E231" i="3"/>
  <c r="B231" i="3"/>
  <c r="U230" i="3"/>
  <c r="K230" i="3"/>
  <c r="E230" i="3"/>
  <c r="B230" i="3"/>
  <c r="U229" i="3"/>
  <c r="K229" i="3"/>
  <c r="E229" i="3"/>
  <c r="B229" i="3"/>
  <c r="U228" i="3"/>
  <c r="K228" i="3"/>
  <c r="E228" i="3"/>
  <c r="B228" i="3"/>
  <c r="U227" i="3"/>
  <c r="K227" i="3"/>
  <c r="E227" i="3"/>
  <c r="B227" i="3"/>
  <c r="U226" i="3"/>
  <c r="K226" i="3"/>
  <c r="E226" i="3"/>
  <c r="B226" i="3"/>
  <c r="U225" i="3"/>
  <c r="K225" i="3"/>
  <c r="E225" i="3"/>
  <c r="B225" i="3"/>
  <c r="U224" i="3"/>
  <c r="K224" i="3"/>
  <c r="E224" i="3"/>
  <c r="B224" i="3"/>
  <c r="U223" i="3"/>
  <c r="K223" i="3"/>
  <c r="E223" i="3"/>
  <c r="B223" i="3"/>
  <c r="U222" i="3"/>
  <c r="K222" i="3"/>
  <c r="E222" i="3"/>
  <c r="B222" i="3"/>
  <c r="U221" i="3"/>
  <c r="K221" i="3"/>
  <c r="E221" i="3"/>
  <c r="B221" i="3"/>
  <c r="U220" i="3"/>
  <c r="K220" i="3"/>
  <c r="E220" i="3"/>
  <c r="B220" i="3"/>
  <c r="U219" i="3"/>
  <c r="K219" i="3"/>
  <c r="E219" i="3"/>
  <c r="B219" i="3"/>
  <c r="U218" i="3"/>
  <c r="K218" i="3"/>
  <c r="E218" i="3"/>
  <c r="B218" i="3"/>
  <c r="U217" i="3"/>
  <c r="K217" i="3"/>
  <c r="E217" i="3"/>
  <c r="B217" i="3"/>
  <c r="U216" i="3"/>
  <c r="K216" i="3"/>
  <c r="E216" i="3"/>
  <c r="B216" i="3"/>
  <c r="U215" i="3"/>
  <c r="K215" i="3"/>
  <c r="E215" i="3"/>
  <c r="B215" i="3"/>
  <c r="U214" i="3"/>
  <c r="K214" i="3"/>
  <c r="E214" i="3"/>
  <c r="B214" i="3"/>
  <c r="U213" i="3"/>
  <c r="K213" i="3"/>
  <c r="E213" i="3"/>
  <c r="B213" i="3"/>
  <c r="U212" i="3"/>
  <c r="K212" i="3"/>
  <c r="E212" i="3"/>
  <c r="B212" i="3"/>
  <c r="U211" i="3"/>
  <c r="K211" i="3"/>
  <c r="E211" i="3"/>
  <c r="B211" i="3"/>
  <c r="U210" i="3"/>
  <c r="K210" i="3"/>
  <c r="E210" i="3"/>
  <c r="B210" i="3"/>
  <c r="U209" i="3"/>
  <c r="K209" i="3"/>
  <c r="E209" i="3"/>
  <c r="B209" i="3"/>
  <c r="U208" i="3"/>
  <c r="K208" i="3"/>
  <c r="E208" i="3"/>
  <c r="B208" i="3"/>
  <c r="U207" i="3"/>
  <c r="K207" i="3"/>
  <c r="E207" i="3"/>
  <c r="B207" i="3"/>
  <c r="U206" i="3"/>
  <c r="K206" i="3"/>
  <c r="E206" i="3"/>
  <c r="B206" i="3"/>
  <c r="U205" i="3"/>
  <c r="K205" i="3"/>
  <c r="E205" i="3"/>
  <c r="B205" i="3"/>
  <c r="U204" i="3"/>
  <c r="K204" i="3"/>
  <c r="E204" i="3"/>
  <c r="B204" i="3"/>
  <c r="U203" i="3"/>
  <c r="K203" i="3"/>
  <c r="E203" i="3"/>
  <c r="B203" i="3"/>
  <c r="U202" i="3"/>
  <c r="K202" i="3"/>
  <c r="E202" i="3"/>
  <c r="B202" i="3"/>
  <c r="U201" i="3"/>
  <c r="K201" i="3"/>
  <c r="E201" i="3"/>
  <c r="B201" i="3"/>
  <c r="U200" i="3"/>
  <c r="K200" i="3"/>
  <c r="E200" i="3"/>
  <c r="B200" i="3"/>
  <c r="U199" i="3"/>
  <c r="K199" i="3"/>
  <c r="E199" i="3"/>
  <c r="B199" i="3"/>
  <c r="U198" i="3"/>
  <c r="K198" i="3"/>
  <c r="E198" i="3"/>
  <c r="B198" i="3"/>
  <c r="U197" i="3"/>
  <c r="K197" i="3"/>
  <c r="E197" i="3"/>
  <c r="B197" i="3"/>
  <c r="U196" i="3"/>
  <c r="K196" i="3"/>
  <c r="E196" i="3"/>
  <c r="B196" i="3"/>
  <c r="U195" i="3"/>
  <c r="K195" i="3"/>
  <c r="E195" i="3"/>
  <c r="B195" i="3"/>
  <c r="U194" i="3"/>
  <c r="K194" i="3"/>
  <c r="E194" i="3"/>
  <c r="B194" i="3"/>
  <c r="U193" i="3"/>
  <c r="K193" i="3"/>
  <c r="E193" i="3"/>
  <c r="B193" i="3"/>
  <c r="U192" i="3"/>
  <c r="K192" i="3"/>
  <c r="E192" i="3"/>
  <c r="B192" i="3"/>
  <c r="U191" i="3"/>
  <c r="K191" i="3"/>
  <c r="E191" i="3"/>
  <c r="B191" i="3"/>
  <c r="U190" i="3"/>
  <c r="K190" i="3"/>
  <c r="E190" i="3"/>
  <c r="B190" i="3"/>
  <c r="U189" i="3"/>
  <c r="K189" i="3"/>
  <c r="E189" i="3"/>
  <c r="B189" i="3"/>
  <c r="U188" i="3"/>
  <c r="K188" i="3"/>
  <c r="E188" i="3"/>
  <c r="B188" i="3"/>
  <c r="U187" i="3"/>
  <c r="K187" i="3"/>
  <c r="E187" i="3"/>
  <c r="B187" i="3"/>
  <c r="U186" i="3"/>
  <c r="K186" i="3"/>
  <c r="E186" i="3"/>
  <c r="B186" i="3"/>
  <c r="U185" i="3"/>
  <c r="K185" i="3"/>
  <c r="E185" i="3"/>
  <c r="B185" i="3"/>
  <c r="U184" i="3"/>
  <c r="K184" i="3"/>
  <c r="E184" i="3"/>
  <c r="B184" i="3"/>
  <c r="U183" i="3"/>
  <c r="K183" i="3"/>
  <c r="E183" i="3"/>
  <c r="B183" i="3"/>
  <c r="U182" i="3"/>
  <c r="K182" i="3"/>
  <c r="E182" i="3"/>
  <c r="B182" i="3"/>
  <c r="U181" i="3"/>
  <c r="K181" i="3"/>
  <c r="E181" i="3"/>
  <c r="B181" i="3"/>
  <c r="U180" i="3"/>
  <c r="K180" i="3"/>
  <c r="E180" i="3"/>
  <c r="B180" i="3"/>
  <c r="U179" i="3"/>
  <c r="K179" i="3"/>
  <c r="E179" i="3"/>
  <c r="B179" i="3"/>
  <c r="U178" i="3"/>
  <c r="K178" i="3"/>
  <c r="E178" i="3"/>
  <c r="B178" i="3"/>
  <c r="U177" i="3"/>
  <c r="K177" i="3"/>
  <c r="E177" i="3"/>
  <c r="B177" i="3"/>
  <c r="U176" i="3"/>
  <c r="K176" i="3"/>
  <c r="E176" i="3"/>
  <c r="B176" i="3"/>
  <c r="U175" i="3"/>
  <c r="K175" i="3"/>
  <c r="E175" i="3"/>
  <c r="B175" i="3"/>
  <c r="U174" i="3"/>
  <c r="K174" i="3"/>
  <c r="E174" i="3"/>
  <c r="B174" i="3"/>
  <c r="U173" i="3"/>
  <c r="K173" i="3"/>
  <c r="E173" i="3"/>
  <c r="B173" i="3"/>
  <c r="U172" i="3"/>
  <c r="K172" i="3"/>
  <c r="E172" i="3"/>
  <c r="B172" i="3"/>
  <c r="U171" i="3"/>
  <c r="K171" i="3"/>
  <c r="E171" i="3"/>
  <c r="B171" i="3"/>
  <c r="U170" i="3"/>
  <c r="K170" i="3"/>
  <c r="E170" i="3"/>
  <c r="B170" i="3"/>
  <c r="U169" i="3"/>
  <c r="K169" i="3"/>
  <c r="E169" i="3"/>
  <c r="B169" i="3"/>
  <c r="U168" i="3"/>
  <c r="K168" i="3"/>
  <c r="E168" i="3"/>
  <c r="B168" i="3"/>
  <c r="U167" i="3"/>
  <c r="K167" i="3"/>
  <c r="E167" i="3"/>
  <c r="B167" i="3"/>
  <c r="U166" i="3"/>
  <c r="K166" i="3"/>
  <c r="E166" i="3"/>
  <c r="B166" i="3"/>
  <c r="U165" i="3"/>
  <c r="K165" i="3"/>
  <c r="E165" i="3"/>
  <c r="B165" i="3"/>
  <c r="U164" i="3"/>
  <c r="K164" i="3"/>
  <c r="E164" i="3"/>
  <c r="B164" i="3"/>
  <c r="U163" i="3"/>
  <c r="K163" i="3"/>
  <c r="E163" i="3"/>
  <c r="B163" i="3"/>
  <c r="U162" i="3"/>
  <c r="K162" i="3"/>
  <c r="E162" i="3"/>
  <c r="B162" i="3"/>
  <c r="U161" i="3"/>
  <c r="K161" i="3"/>
  <c r="E161" i="3"/>
  <c r="B161" i="3"/>
  <c r="U160" i="3"/>
  <c r="K160" i="3"/>
  <c r="E160" i="3"/>
  <c r="B160" i="3"/>
  <c r="U159" i="3"/>
  <c r="K159" i="3"/>
  <c r="E159" i="3"/>
  <c r="B159" i="3"/>
  <c r="U158" i="3"/>
  <c r="K158" i="3"/>
  <c r="E158" i="3"/>
  <c r="B158" i="3"/>
  <c r="U157" i="3"/>
  <c r="K157" i="3"/>
  <c r="E157" i="3"/>
  <c r="B157" i="3"/>
  <c r="U156" i="3"/>
  <c r="K156" i="3"/>
  <c r="E156" i="3"/>
  <c r="B156" i="3"/>
  <c r="U155" i="3"/>
  <c r="K155" i="3"/>
  <c r="E155" i="3"/>
  <c r="B155" i="3"/>
  <c r="U154" i="3"/>
  <c r="K154" i="3"/>
  <c r="E154" i="3"/>
  <c r="B154" i="3"/>
  <c r="U153" i="3"/>
  <c r="K153" i="3"/>
  <c r="E153" i="3"/>
  <c r="B153" i="3"/>
  <c r="U152" i="3"/>
  <c r="K152" i="3"/>
  <c r="E152" i="3"/>
  <c r="B152" i="3"/>
  <c r="U151" i="3"/>
  <c r="K151" i="3"/>
  <c r="E151" i="3"/>
  <c r="B151" i="3"/>
  <c r="U150" i="3"/>
  <c r="K150" i="3"/>
  <c r="E150" i="3"/>
  <c r="B150" i="3"/>
  <c r="U149" i="3"/>
  <c r="K149" i="3"/>
  <c r="E149" i="3"/>
  <c r="B149" i="3"/>
  <c r="U148" i="3"/>
  <c r="K148" i="3"/>
  <c r="E148" i="3"/>
  <c r="B148" i="3"/>
  <c r="U147" i="3"/>
  <c r="K147" i="3"/>
  <c r="E147" i="3"/>
  <c r="B147" i="3"/>
  <c r="U146" i="3"/>
  <c r="K146" i="3"/>
  <c r="E146" i="3"/>
  <c r="B146" i="3"/>
  <c r="U145" i="3"/>
  <c r="K145" i="3"/>
  <c r="E145" i="3"/>
  <c r="B145" i="3"/>
  <c r="U144" i="3"/>
  <c r="K144" i="3"/>
  <c r="E144" i="3"/>
  <c r="B144" i="3"/>
  <c r="U143" i="3"/>
  <c r="K143" i="3"/>
  <c r="E143" i="3"/>
  <c r="B143" i="3"/>
  <c r="U142" i="3"/>
  <c r="K142" i="3"/>
  <c r="E142" i="3"/>
  <c r="B142" i="3"/>
  <c r="U141" i="3"/>
  <c r="K141" i="3"/>
  <c r="E141" i="3"/>
  <c r="B141" i="3"/>
  <c r="U140" i="3"/>
  <c r="K140" i="3"/>
  <c r="E140" i="3"/>
  <c r="B140" i="3"/>
  <c r="U139" i="3"/>
  <c r="K139" i="3"/>
  <c r="E139" i="3"/>
  <c r="B139" i="3"/>
  <c r="U138" i="3"/>
  <c r="K138" i="3"/>
  <c r="E138" i="3"/>
  <c r="B138" i="3"/>
  <c r="U137" i="3"/>
  <c r="K137" i="3"/>
  <c r="E137" i="3"/>
  <c r="B137" i="3"/>
  <c r="U136" i="3"/>
  <c r="K136" i="3"/>
  <c r="E136" i="3"/>
  <c r="B136" i="3"/>
  <c r="U135" i="3"/>
  <c r="K135" i="3"/>
  <c r="E135" i="3"/>
  <c r="B135" i="3"/>
  <c r="U134" i="3"/>
  <c r="K134" i="3"/>
  <c r="E134" i="3"/>
  <c r="B134" i="3"/>
  <c r="U133" i="3"/>
  <c r="K133" i="3"/>
  <c r="E133" i="3"/>
  <c r="B133" i="3"/>
  <c r="U132" i="3"/>
  <c r="K132" i="3"/>
  <c r="E132" i="3"/>
  <c r="B132" i="3"/>
  <c r="U131" i="3"/>
  <c r="K131" i="3"/>
  <c r="E131" i="3"/>
  <c r="B131" i="3"/>
  <c r="U130" i="3"/>
  <c r="K130" i="3"/>
  <c r="E130" i="3"/>
  <c r="B130" i="3"/>
  <c r="U129" i="3"/>
  <c r="K129" i="3"/>
  <c r="E129" i="3"/>
  <c r="B129" i="3"/>
  <c r="U128" i="3"/>
  <c r="K128" i="3"/>
  <c r="E128" i="3"/>
  <c r="B128" i="3"/>
  <c r="U127" i="3"/>
  <c r="K127" i="3"/>
  <c r="E127" i="3"/>
  <c r="B127" i="3"/>
  <c r="U126" i="3"/>
  <c r="K126" i="3"/>
  <c r="E126" i="3"/>
  <c r="B126" i="3"/>
  <c r="U125" i="3"/>
  <c r="K125" i="3"/>
  <c r="E125" i="3"/>
  <c r="B125" i="3"/>
  <c r="U124" i="3"/>
  <c r="K124" i="3"/>
  <c r="E124" i="3"/>
  <c r="B124" i="3"/>
  <c r="U123" i="3"/>
  <c r="K123" i="3"/>
  <c r="E123" i="3"/>
  <c r="B123" i="3"/>
  <c r="U122" i="3"/>
  <c r="K122" i="3"/>
  <c r="E122" i="3"/>
  <c r="B122" i="3"/>
  <c r="U121" i="3"/>
  <c r="K121" i="3"/>
  <c r="E121" i="3"/>
  <c r="B121" i="3"/>
  <c r="U120" i="3"/>
  <c r="K120" i="3"/>
  <c r="E120" i="3"/>
  <c r="B120" i="3"/>
  <c r="U119" i="3"/>
  <c r="K119" i="3"/>
  <c r="E119" i="3"/>
  <c r="B119" i="3"/>
  <c r="U118" i="3"/>
  <c r="K118" i="3"/>
  <c r="E118" i="3"/>
  <c r="B118" i="3"/>
  <c r="U117" i="3"/>
  <c r="K117" i="3"/>
  <c r="E117" i="3"/>
  <c r="B117" i="3"/>
  <c r="U116" i="3"/>
  <c r="K116" i="3"/>
  <c r="E116" i="3"/>
  <c r="B116" i="3"/>
  <c r="U115" i="3"/>
  <c r="K115" i="3"/>
  <c r="E115" i="3"/>
  <c r="B115" i="3"/>
  <c r="U114" i="3"/>
  <c r="K114" i="3"/>
  <c r="E114" i="3"/>
  <c r="B114" i="3"/>
  <c r="U113" i="3"/>
  <c r="K113" i="3"/>
  <c r="E113" i="3"/>
  <c r="B113" i="3"/>
  <c r="U112" i="3"/>
  <c r="K112" i="3"/>
  <c r="E112" i="3"/>
  <c r="B112" i="3"/>
  <c r="U111" i="3"/>
  <c r="K111" i="3"/>
  <c r="E111" i="3"/>
  <c r="B111" i="3"/>
  <c r="U110" i="3"/>
  <c r="K110" i="3"/>
  <c r="E110" i="3"/>
  <c r="B110" i="3"/>
  <c r="U109" i="3"/>
  <c r="K109" i="3"/>
  <c r="E109" i="3"/>
  <c r="B109" i="3"/>
  <c r="U108" i="3"/>
  <c r="K108" i="3"/>
  <c r="E108" i="3"/>
  <c r="B108" i="3"/>
  <c r="U107" i="3"/>
  <c r="K107" i="3"/>
  <c r="E107" i="3"/>
  <c r="B107" i="3"/>
  <c r="U106" i="3"/>
  <c r="K106" i="3"/>
  <c r="E106" i="3"/>
  <c r="B106" i="3"/>
  <c r="U105" i="3"/>
  <c r="K105" i="3"/>
  <c r="E105" i="3"/>
  <c r="B105" i="3"/>
  <c r="U104" i="3"/>
  <c r="K104" i="3"/>
  <c r="E104" i="3"/>
  <c r="B104" i="3"/>
  <c r="U103" i="3"/>
  <c r="K103" i="3"/>
  <c r="E103" i="3"/>
  <c r="B103" i="3"/>
  <c r="U102" i="3"/>
  <c r="K102" i="3"/>
  <c r="E102" i="3"/>
  <c r="B102" i="3"/>
  <c r="U101" i="3"/>
  <c r="K101" i="3"/>
  <c r="E101" i="3"/>
  <c r="B101" i="3"/>
  <c r="U100" i="3"/>
  <c r="K100" i="3"/>
  <c r="E100" i="3"/>
  <c r="B100" i="3"/>
  <c r="U99" i="3"/>
  <c r="K99" i="3"/>
  <c r="E99" i="3"/>
  <c r="B99" i="3"/>
  <c r="U98" i="3"/>
  <c r="K98" i="3"/>
  <c r="E98" i="3"/>
  <c r="B98" i="3"/>
  <c r="U97" i="3"/>
  <c r="K97" i="3"/>
  <c r="E97" i="3"/>
  <c r="B97" i="3"/>
  <c r="U96" i="3"/>
  <c r="K96" i="3"/>
  <c r="E96" i="3"/>
  <c r="B96" i="3"/>
  <c r="U95" i="3"/>
  <c r="K95" i="3"/>
  <c r="E95" i="3"/>
  <c r="B95" i="3"/>
  <c r="U94" i="3"/>
  <c r="K94" i="3"/>
  <c r="E94" i="3"/>
  <c r="B94" i="3"/>
  <c r="U93" i="3"/>
  <c r="K93" i="3"/>
  <c r="E93" i="3"/>
  <c r="B93" i="3"/>
  <c r="U92" i="3"/>
  <c r="K92" i="3"/>
  <c r="E92" i="3"/>
  <c r="B92" i="3"/>
  <c r="U91" i="3"/>
  <c r="K91" i="3"/>
  <c r="E91" i="3"/>
  <c r="B91" i="3"/>
  <c r="U90" i="3"/>
  <c r="K90" i="3"/>
  <c r="E90" i="3"/>
  <c r="B90" i="3"/>
  <c r="U89" i="3"/>
  <c r="K89" i="3"/>
  <c r="E89" i="3"/>
  <c r="B89" i="3"/>
  <c r="U88" i="3"/>
  <c r="K88" i="3"/>
  <c r="E88" i="3"/>
  <c r="B88" i="3"/>
  <c r="U87" i="3"/>
  <c r="K87" i="3"/>
  <c r="E87" i="3"/>
  <c r="B87" i="3"/>
  <c r="U86" i="3"/>
  <c r="K86" i="3"/>
  <c r="E86" i="3"/>
  <c r="B86" i="3"/>
  <c r="U85" i="3"/>
  <c r="K85" i="3"/>
  <c r="E85" i="3"/>
  <c r="B85" i="3"/>
  <c r="U84" i="3"/>
  <c r="K84" i="3"/>
  <c r="E84" i="3"/>
  <c r="B84" i="3"/>
  <c r="U83" i="3"/>
  <c r="K83" i="3"/>
  <c r="E83" i="3"/>
  <c r="B83" i="3"/>
  <c r="U82" i="3"/>
  <c r="K82" i="3"/>
  <c r="E82" i="3"/>
  <c r="B82" i="3"/>
  <c r="U81" i="3"/>
  <c r="K81" i="3"/>
  <c r="E81" i="3"/>
  <c r="B81" i="3"/>
  <c r="U80" i="3"/>
  <c r="K80" i="3"/>
  <c r="E80" i="3"/>
  <c r="B80" i="3"/>
  <c r="U79" i="3"/>
  <c r="K79" i="3"/>
  <c r="E79" i="3"/>
  <c r="B79" i="3"/>
  <c r="U78" i="3"/>
  <c r="K78" i="3"/>
  <c r="E78" i="3"/>
  <c r="B78" i="3"/>
  <c r="U77" i="3"/>
  <c r="K77" i="3"/>
  <c r="E77" i="3"/>
  <c r="B77" i="3"/>
  <c r="U76" i="3"/>
  <c r="K76" i="3"/>
  <c r="E76" i="3"/>
  <c r="B76" i="3"/>
  <c r="U75" i="3"/>
  <c r="K75" i="3"/>
  <c r="E75" i="3"/>
  <c r="B75" i="3"/>
  <c r="U74" i="3"/>
  <c r="K74" i="3"/>
  <c r="E74" i="3"/>
  <c r="B74" i="3"/>
  <c r="U73" i="3"/>
  <c r="K73" i="3"/>
  <c r="E73" i="3"/>
  <c r="B73" i="3"/>
  <c r="U72" i="3"/>
  <c r="K72" i="3"/>
  <c r="E72" i="3"/>
  <c r="B72" i="3"/>
  <c r="U71" i="3"/>
  <c r="K71" i="3"/>
  <c r="E71" i="3"/>
  <c r="B71" i="3"/>
  <c r="U70" i="3"/>
  <c r="K70" i="3"/>
  <c r="E70" i="3"/>
  <c r="B70" i="3"/>
  <c r="U69" i="3"/>
  <c r="K69" i="3"/>
  <c r="E69" i="3"/>
  <c r="B69" i="3"/>
  <c r="U68" i="3"/>
  <c r="K68" i="3"/>
  <c r="E68" i="3"/>
  <c r="B68" i="3"/>
  <c r="U67" i="3"/>
  <c r="K67" i="3"/>
  <c r="E67" i="3"/>
  <c r="B67" i="3"/>
  <c r="U66" i="3"/>
  <c r="K66" i="3"/>
  <c r="E66" i="3"/>
  <c r="B66" i="3"/>
  <c r="U65" i="3"/>
  <c r="K65" i="3"/>
  <c r="E65" i="3"/>
  <c r="B65" i="3"/>
  <c r="U64" i="3"/>
  <c r="K64" i="3"/>
  <c r="E64" i="3"/>
  <c r="B64" i="3"/>
  <c r="U63" i="3"/>
  <c r="K63" i="3"/>
  <c r="E63" i="3"/>
  <c r="B63" i="3"/>
  <c r="U62" i="3"/>
  <c r="K62" i="3"/>
  <c r="E62" i="3"/>
  <c r="B62" i="3"/>
  <c r="U61" i="3"/>
  <c r="K61" i="3"/>
  <c r="E61" i="3"/>
  <c r="B61" i="3"/>
  <c r="U60" i="3"/>
  <c r="K60" i="3"/>
  <c r="E60" i="3"/>
  <c r="B60" i="3"/>
  <c r="U59" i="3"/>
  <c r="K59" i="3"/>
  <c r="E59" i="3"/>
  <c r="B59" i="3"/>
  <c r="U58" i="3"/>
  <c r="K58" i="3"/>
  <c r="E58" i="3"/>
  <c r="B58" i="3"/>
  <c r="U57" i="3"/>
  <c r="K57" i="3"/>
  <c r="E57" i="3"/>
  <c r="B57" i="3"/>
  <c r="U56" i="3"/>
  <c r="K56" i="3"/>
  <c r="E56" i="3"/>
  <c r="B56" i="3"/>
  <c r="U55" i="3"/>
  <c r="K55" i="3"/>
  <c r="E55" i="3"/>
  <c r="B55" i="3"/>
  <c r="U54" i="3"/>
  <c r="K54" i="3"/>
  <c r="E54" i="3"/>
  <c r="B54" i="3"/>
  <c r="U53" i="3"/>
  <c r="K53" i="3"/>
  <c r="E53" i="3"/>
  <c r="B53" i="3"/>
  <c r="U52" i="3"/>
  <c r="K52" i="3"/>
  <c r="E52" i="3"/>
  <c r="B52" i="3"/>
  <c r="U51" i="3"/>
  <c r="K51" i="3"/>
  <c r="E51" i="3"/>
  <c r="B51" i="3"/>
  <c r="U50" i="3"/>
  <c r="K50" i="3"/>
  <c r="E50" i="3"/>
  <c r="B50" i="3"/>
  <c r="U49" i="3"/>
  <c r="K49" i="3"/>
  <c r="E49" i="3"/>
  <c r="B49" i="3"/>
  <c r="U48" i="3"/>
  <c r="K48" i="3"/>
  <c r="E48" i="3"/>
  <c r="B48" i="3"/>
  <c r="U47" i="3"/>
  <c r="K47" i="3"/>
  <c r="E47" i="3"/>
  <c r="B47" i="3"/>
  <c r="U46" i="3"/>
  <c r="K46" i="3"/>
  <c r="E46" i="3"/>
  <c r="B46" i="3"/>
  <c r="U45" i="3"/>
  <c r="K45" i="3"/>
  <c r="E45" i="3"/>
  <c r="B45" i="3"/>
  <c r="U44" i="3"/>
  <c r="K44" i="3"/>
  <c r="E44" i="3"/>
  <c r="B44" i="3"/>
  <c r="U43" i="3"/>
  <c r="K43" i="3"/>
  <c r="E43" i="3"/>
  <c r="B43" i="3"/>
  <c r="U42" i="3"/>
  <c r="K42" i="3"/>
  <c r="E42" i="3"/>
  <c r="B42" i="3"/>
  <c r="U41" i="3"/>
  <c r="K41" i="3"/>
  <c r="E41" i="3"/>
  <c r="B41" i="3"/>
  <c r="U40" i="3"/>
  <c r="K40" i="3"/>
  <c r="E40" i="3"/>
  <c r="B40" i="3"/>
  <c r="U39" i="3"/>
  <c r="K39" i="3"/>
  <c r="E39" i="3"/>
  <c r="B39" i="3"/>
  <c r="U38" i="3"/>
  <c r="K38" i="3"/>
  <c r="E38" i="3"/>
  <c r="B38" i="3"/>
  <c r="U37" i="3"/>
  <c r="K37" i="3"/>
  <c r="E37" i="3"/>
  <c r="B37" i="3"/>
  <c r="U36" i="3"/>
  <c r="K36" i="3"/>
  <c r="E36" i="3"/>
  <c r="B36" i="3"/>
  <c r="U35" i="3"/>
  <c r="K35" i="3"/>
  <c r="E35" i="3"/>
  <c r="B35" i="3"/>
  <c r="U34" i="3"/>
  <c r="K34" i="3"/>
  <c r="E34" i="3"/>
  <c r="B34" i="3"/>
  <c r="U33" i="3"/>
  <c r="K33" i="3"/>
  <c r="E33" i="3"/>
  <c r="B33" i="3"/>
  <c r="U32" i="3"/>
  <c r="K32" i="3"/>
  <c r="E32" i="3"/>
  <c r="B32" i="3"/>
  <c r="U31" i="3"/>
  <c r="K31" i="3"/>
  <c r="E31" i="3"/>
  <c r="B31" i="3"/>
  <c r="U30" i="3"/>
  <c r="K30" i="3"/>
  <c r="E30" i="3"/>
  <c r="B30" i="3"/>
  <c r="U29" i="3"/>
  <c r="K29" i="3"/>
  <c r="E29" i="3"/>
  <c r="B29" i="3"/>
  <c r="U28" i="3"/>
  <c r="K28" i="3"/>
  <c r="E28" i="3"/>
  <c r="B28" i="3"/>
  <c r="U27" i="3"/>
  <c r="K27" i="3"/>
  <c r="E27" i="3"/>
  <c r="B27" i="3"/>
  <c r="U26" i="3"/>
  <c r="K26" i="3"/>
  <c r="E26" i="3"/>
  <c r="B26" i="3"/>
  <c r="U25" i="3"/>
  <c r="K25" i="3"/>
  <c r="E25" i="3"/>
  <c r="B25" i="3"/>
  <c r="U24" i="3"/>
  <c r="K24" i="3"/>
  <c r="E24" i="3"/>
  <c r="B24" i="3"/>
  <c r="U23" i="3"/>
  <c r="K23" i="3"/>
  <c r="E23" i="3"/>
  <c r="B23" i="3"/>
  <c r="U22" i="3"/>
  <c r="K22" i="3"/>
  <c r="E22" i="3"/>
  <c r="B22" i="3"/>
  <c r="U21" i="3"/>
  <c r="K21" i="3"/>
  <c r="E21" i="3"/>
  <c r="B21" i="3"/>
  <c r="U20" i="3"/>
  <c r="K20" i="3"/>
  <c r="E20" i="3"/>
  <c r="B20" i="3"/>
  <c r="U19" i="3"/>
  <c r="K19" i="3"/>
  <c r="E19" i="3"/>
  <c r="B19" i="3"/>
  <c r="U18" i="3"/>
  <c r="K18" i="3"/>
  <c r="E18" i="3"/>
  <c r="B18" i="3"/>
  <c r="U17" i="3"/>
  <c r="K17" i="3"/>
  <c r="E17" i="3"/>
  <c r="B17" i="3"/>
  <c r="U16" i="3"/>
  <c r="K16" i="3"/>
  <c r="E16" i="3"/>
  <c r="B16" i="3"/>
  <c r="U15" i="3"/>
  <c r="K15" i="3"/>
  <c r="E15" i="3"/>
  <c r="B15" i="3"/>
  <c r="U14" i="3"/>
  <c r="K14" i="3"/>
  <c r="E14" i="3"/>
  <c r="B14" i="3"/>
  <c r="U13" i="3"/>
  <c r="K13" i="3"/>
  <c r="E13" i="3"/>
  <c r="B13" i="3"/>
  <c r="U12" i="3"/>
  <c r="K12" i="3"/>
  <c r="E12" i="3"/>
  <c r="B12" i="3"/>
  <c r="U11" i="3"/>
  <c r="K11" i="3"/>
  <c r="E11" i="3"/>
  <c r="B11" i="3"/>
  <c r="U10" i="3"/>
  <c r="K10" i="3"/>
  <c r="E10" i="3"/>
  <c r="B10" i="3"/>
  <c r="U9" i="3"/>
  <c r="K9" i="3"/>
  <c r="E9" i="3"/>
  <c r="B9" i="3"/>
  <c r="U8" i="3"/>
  <c r="K8" i="3"/>
  <c r="E8" i="3"/>
  <c r="B8" i="3"/>
  <c r="U7" i="3"/>
  <c r="K7" i="3"/>
  <c r="E7" i="3"/>
  <c r="B7" i="3"/>
  <c r="U6" i="3"/>
  <c r="K6" i="3"/>
  <c r="E6" i="3"/>
  <c r="B6" i="3"/>
  <c r="U5" i="3"/>
  <c r="K5" i="3"/>
  <c r="E5" i="3"/>
  <c r="B5" i="3"/>
  <c r="U4" i="3"/>
  <c r="K4" i="3"/>
  <c r="E4" i="3"/>
  <c r="B4" i="3"/>
  <c r="U3" i="3"/>
  <c r="K3" i="3"/>
  <c r="E3" i="3"/>
  <c r="B3" i="3"/>
</calcChain>
</file>

<file path=xl/sharedStrings.xml><?xml version="1.0" encoding="utf-8"?>
<sst xmlns="http://schemas.openxmlformats.org/spreadsheetml/2006/main" count="2649" uniqueCount="1237">
  <si>
    <t>Date</t>
  </si>
  <si>
    <t>Twitter Query: #MADM2018 lang:en -filter:retweets -filter:replies</t>
  </si>
  <si>
    <t>Event Log</t>
  </si>
  <si>
    <t>User Details</t>
  </si>
  <si>
    <t>The sheet will store the Twitter Logs</t>
  </si>
  <si>
    <t>Screen Name</t>
  </si>
  <si>
    <t>Fetched 495 tweets for #MADM2018 lang:en -filter:retweets -filter:replies</t>
  </si>
  <si>
    <t>Full Name</t>
  </si>
  <si>
    <t>Tweet Text</t>
  </si>
  <si>
    <t>Tweet ID</t>
  </si>
  <si>
    <t>Link(s)</t>
  </si>
  <si>
    <t>Media</t>
  </si>
  <si>
    <t>Location</t>
  </si>
  <si>
    <t>Retweets</t>
  </si>
  <si>
    <t>Favorites</t>
  </si>
  <si>
    <t>App</t>
  </si>
  <si>
    <t>Followers</t>
  </si>
  <si>
    <t>Follows</t>
  </si>
  <si>
    <t>Listed</t>
  </si>
  <si>
    <t>Verfied</t>
  </si>
  <si>
    <t>User Since</t>
  </si>
  <si>
    <t>Bio</t>
  </si>
  <si>
    <t>Website</t>
  </si>
  <si>
    <t>Timezone</t>
  </si>
  <si>
    <t>Profile Image</t>
  </si>
  <si>
    <t>Dr. Laura Aguiar</t>
  </si>
  <si>
    <t>A belated tweet to thank @GeorgiaMallin + team for the fantastic #MADM2018 Conference. Great discussions on data overload, digital preservation, digitisation and co-curation. Always nice to be back to @britishmuseum and #London</t>
  </si>
  <si>
    <t>https://pbs.twimg.com/media/DmVD547XcAAUxJj.jpg</t>
  </si>
  <si>
    <t>Belfast, Northern Ireland</t>
  </si>
  <si>
    <t>Creative Producer &amp; Community Engagement Officer - Making the Future PRONI @nerve_centre | Co-director @rathmullanfilm | Multimedia Storyteller &amp; Researcher</t>
  </si>
  <si>
    <t>http://bit.ly/2sJgjYF</t>
  </si>
  <si>
    <t>IMA Solutions - Benjamin Moreno</t>
  </si>
  <si>
    <t>Great days in #london with #MADM2018 @dpc_chat conference on #digitalpreservation #microct lab visit with @dan_oflynn and meetings with AES and #conservation dept of the @britishmuseum!👌</t>
  </si>
  <si>
    <t>https://pbs.twimg.com/media/DmURnvrX4AI3_y3.jpg</t>
  </si>
  <si>
    <t>Toulouse, France</t>
  </si>
  <si>
    <t>#3Dscanning, #3DVisualization and #InteractiveTechnologies for #Museums and #ScienceCenters</t>
  </si>
  <si>
    <t>http://www.ima-solutions.fr</t>
  </si>
  <si>
    <t>Cara Hirst</t>
  </si>
  <si>
    <t>The importance of digital preservation was the key theme at #MADM2018 and I am really glad that @bones2bytes will be discussing this at @DDConference18 in October #digitalpuppiesarenotjustforchristmas #digitisationisnotdigitalpreservation RT @DDConference18: Another great abstract from @bones2bytes who will be presenting "Data silos, dying data and realistic start-up costs-dirty secrets of the digital revolution"</t>
  </si>
  <si>
    <t>https://twitter.com/ddconference18/status/1037247475499900928</t>
  </si>
  <si>
    <t>https://pbs.twimg.com/media/DmUKqd-W4AETpKz.jpg</t>
  </si>
  <si>
    <t>London, England</t>
  </si>
  <si>
    <t>Bioarchaeology PhD Student UCL. interests include: biomechanics, 3D GMM, 3D scanning, paleopathology, epidemiology and cute animal videos</t>
  </si>
  <si>
    <t>https://digitaldataucl.wordpress.com/</t>
  </si>
  <si>
    <t>Glenn Cumiskey</t>
  </si>
  <si>
    <t>We @britishmuseum were very proud to be working with the @dpc_chat #DPC to help move the #digitalpreservation argument forward in Museums at #MADM2018 It feels like this should be something we should do again? RT @WilliamKilbride: It's been a great couple of days for the #DPC for which thanks are due to @GlennCumiskey @GeorgiaMallin @britishmuseum for promoting deep thinking and effective action for #Digitalpreservation in museums. #MADM2018 also to @SimonTanner @julieallinson @VJJohnson1 and @MariaEcoGl</t>
  </si>
  <si>
    <t>https://twitter.com/WilliamKilbride/status/1037242571104370689</t>
  </si>
  <si>
    <t>Digital Preservation Resource Manager at The British Museum | Digitisation | Archives | Oral History | Traditional Irish Music &amp; Song</t>
  </si>
  <si>
    <t>http://www.britishmuseum.org</t>
  </si>
  <si>
    <t>William Kilbride</t>
  </si>
  <si>
    <t>It's been a great couple of days for the #DPC for which thanks are due to @GlennCumiskey @GeorgiaMallin @britishmuseum for promoting deep thinking and effective action for #Digitalpreservation in museums. #MADM2018 also to @SimonTanner @julieallinson @VJJohnson1 and @MariaEcoGl</t>
  </si>
  <si>
    <t>constantly in motion</t>
  </si>
  <si>
    <t>Twittering about Digital Preservation Coalition and related. Personal opinions professionally informed.</t>
  </si>
  <si>
    <t>http://www.dpconline.org/</t>
  </si>
  <si>
    <t>HLF London</t>
  </si>
  <si>
    <t>Thank you @britishmuseum for hosting the fascinating #MADM2018 conference yday. We learnt so much+were very taken that many speakers, inc. @UkNatArchives advocated more skills development. We're proud to support #MuseumFutures #digital skills thanks to #NationalLottery players</t>
  </si>
  <si>
    <t>London</t>
  </si>
  <si>
    <t>The @HLFLondon feed focuses on heritage news, grant awards and events in the Capital. You can also follow @heritagelottery for UK-wide news. #NationalLottery</t>
  </si>
  <si>
    <t>http://www.hlf.org.uk/london</t>
  </si>
  <si>
    <t>Dr Natalie Harrower</t>
  </si>
  <si>
    <t>Thoroughly enjoyed #madm2018 yesterday at @britishmuseum. Thanks to @GlennCumiskey @GeorgiaMallin @WilliamKilbride @dpc_chat for a stimulating event. Great to meet fellow panelists @FTHofp @CuratorGeoff and Cathal Gurrin. #digitalpreservation #digitalheritage</t>
  </si>
  <si>
    <t>DUB from YYZ</t>
  </si>
  <si>
    <t>Director of the Digital Repository of Ireland @dri_ireland. Personal tweets on #digitalpreservation, cultural heritage, education, arts, tech, social justice.</t>
  </si>
  <si>
    <t>http://dri.ie/dri-team/natalie-harrower</t>
  </si>
  <si>
    <t>A big thx to @GlennCumiskey @GeorgiaMallin @WilliamKilbride @dpc_chat @britishmuseum for welcoming us in such great conditions yesterday for #MADM2018 ! Great people, keynotes and ideas!👌</t>
  </si>
  <si>
    <t>https://pbs.twimg.com/media/DmOo8BwX4AAMzEi.jpg</t>
  </si>
  <si>
    <t>Jennifer Mabbott</t>
  </si>
  <si>
    <t>Also feeling inspired about future of @PHMLearn programmes after visiting #samsungcentre Lots of inspiration for digital learning including video conferencing, VR and apps #MADM2018</t>
  </si>
  <si>
    <t>http://www.britishmuseum.org/learning/samsung_centre/schools.aspx</t>
  </si>
  <si>
    <t>Manchester, England</t>
  </si>
  <si>
    <t>Head of Collections and Engagement @PHMMcr Home of #IdeasWorthFightingFor I love exploring museums with my amazing toddler!</t>
  </si>
  <si>
    <t>Almost home after an intense but great day #MADM2018 @britishmuseum Re-read @PHMMcr digital policy &amp; plan and feeling a lot clearer on next steps with my new found digital knowledge! Ready to make a start on Digital Preservation Policy and explore DAMS solutions...</t>
  </si>
  <si>
    <t>Elinor Morgan</t>
  </si>
  <si>
    <t>Fascinating presentation by Gabriella Warren-Smith today on why our brains are like dried out Plasticine in the digital era of multi-tasking &amp; tweeting during talks... @britishmuseum #MADM2018</t>
  </si>
  <si>
    <t>https://pbs.twimg.com/media/DmMjngSWsAAXn0B.jpg</t>
  </si>
  <si>
    <t>Middlesbrough, England</t>
  </si>
  <si>
    <t>Senior Curator at Middlesbrough Institute of Modern Art</t>
  </si>
  <si>
    <t>http://mima.art</t>
  </si>
  <si>
    <t>Maria Paula Arias</t>
  </si>
  <si>
    <t>Had a wonderful day at #MADM2018 thank you presenters, organizers, hosts, volunteers, sponsors, and fellow attendees. I’m buzzing with ideas!</t>
  </si>
  <si>
    <t>pic.twitter.com/U638zNSXXs</t>
  </si>
  <si>
    <t>Researching museum branding, social media, and audience participation | Soup Advocate | Instagram @aariasmariap</t>
  </si>
  <si>
    <t>https://ariasmariap.com/</t>
  </si>
  <si>
    <t>Dr James Miles</t>
  </si>
  <si>
    <t>For anyone at the #madm2018 conference today at @britishmuseum can I recommend @CAA_Int conference, which is this year taking place in Kraków @KrakCAA2019 23-27 April It is a specialist conference in computational &amp; quantitative archaeology &amp;amp; the discussions there may be helpful</t>
  </si>
  <si>
    <t>Southampton, England</t>
  </si>
  <si>
    <t>Digital Projects manager @cofe_churchcare Visiting Fellow @sotonarch Director @Archaeovision Executive officer @caa_int &amp; chair of @caa_uk All Views are my own</t>
  </si>
  <si>
    <t>Sarah Younas</t>
  </si>
  <si>
    <t>Great day at #MADM2018 - my brain is so full! Thanks to @GlennCumiskey @GeorgiaMallin and @britishmuseum for inviting @ctjball and I to talk about the importance of collaboration and data @TWAMmuseums @TWArchives</t>
  </si>
  <si>
    <t>Newcastle Upon Tyne, England</t>
  </si>
  <si>
    <t>Digital Programmes Officer @TWAMmuseums, views my own</t>
  </si>
  <si>
    <t>Geoffrey Belknap</t>
  </si>
  <si>
    <t>Had a great day at #MADM2018 today, learning loads about the future of digital preservation in museums. Definitely the most live tweeting at any conference I've been to - means the hashtag is full of brilliant detail!</t>
  </si>
  <si>
    <t>Curator of Photography &amp; Photographic Technology @mediamuseum Recent book - http://bit.ly/1RBUsU0</t>
  </si>
  <si>
    <t>http://sciencegossip.org</t>
  </si>
  <si>
    <t>Liz Botterill</t>
  </si>
  <si>
    <t>Interesting day at #MADM2018 🏛I will not forget the mantra: digitisation is NOT the same as preservation. And now I’ve got no excuse not to write that digital preservation policy... Thanks for hosting this event @britishmuseum (p.s. I have a new found interest in molluscs!)</t>
  </si>
  <si>
    <t>Margate, England</t>
  </si>
  <si>
    <t>Museum professional. Likes art, books, movies, cats, spoons, acorns, social history, David Shrigley, grunge, psyche, hiphop, Nordic noir, G&amp;T, beers, Wimbledon</t>
  </si>
  <si>
    <t>hi-impact Simon</t>
  </si>
  <si>
    <t>Really useful &amp; interesting event at the fabulous @britishmuseum today - thanks to @GlennCumiskey @GeorgiaMallin &amp;amp; the rest of the team for putting on a great programme at the #MADM2018 #Digitisation &amp;amp; #DigitalPreservation conference - different things ;)</t>
  </si>
  <si>
    <t>https://pbs.twimg.com/media/DmMDDbeWsAEwRcF.jpg</t>
  </si>
  <si>
    <t>UK</t>
  </si>
  <si>
    <t>3D scanning specialist digitising venues / creator of immersive digital marketing media / edtech projects / Tranmere Rovers / Once played against Alex Higgins!</t>
  </si>
  <si>
    <t>http://www.hi-impact.media</t>
  </si>
  <si>
    <t>Nicôle Meehan</t>
  </si>
  <si>
    <t>A really, really excellent conference! Thanks for all of the hard work that I know went in to organising it. #MADM2018 RT @MariaEcoGl: Thank you @WilliamKilbride &amp; #DPC team @GlennCumiskey @GeorgiaMallin &amp;amp; @britishmuseum team for invite &amp;amp; such an inspiring, thought-provoking, and informative day! Let’s keep the conversation in Museums and Digital Memory going indeed. PS I love the stickers &amp;amp; customisable badges</t>
  </si>
  <si>
    <t>https://twitter.com/mariaecogl/status/1036647992437161986</t>
  </si>
  <si>
    <t>https://pbs.twimg.com/media/DmLp2ToXsAU6e9r.jpg</t>
  </si>
  <si>
    <t>Saint Andrews, Scotland</t>
  </si>
  <si>
    <t>Associate Lecturer @ArtHistoryStA [digital memory and museums], @visitorstudies Admin. @USUKFulbright alum. She/her. All views my own.</t>
  </si>
  <si>
    <t>http://nicolepmeehan.wordpress.com</t>
  </si>
  <si>
    <t>Dot's Bible Class</t>
  </si>
  <si>
    <t>Prvbs 1:13 We shall find all precious substance, we shall fill our houses with spoil: #MADM2018</t>
  </si>
  <si>
    <t>Dot reads the trending topics and asks the bible for advice on them. All tweets are automatic and should not be taken too seriously.</t>
  </si>
  <si>
    <t>http://tough-study-133923.appspot.com/about</t>
  </si>
  <si>
    <t>Megan Jones</t>
  </si>
  <si>
    <t>Great day @britishmuseum for #MADM2018 - my favourite slide of the day is pic #3, displaying data sets as things of beauty. Love a stat, sucker for anything that looks good. (also 10/10 for the lumbar support in the lecture theatre &amp; a frankly stunning sandwich selection )</t>
  </si>
  <si>
    <t>https://pbs.twimg.com/media/DmL3tkxWsAMAQ5g.jpg</t>
  </si>
  <si>
    <t>Leeds, England</t>
  </si>
  <si>
    <t>🏛📖 Digital Engagement Officer @LeedsMuseums. All views my own 🌞</t>
  </si>
  <si>
    <t>http://www.leeds.gov.uk/museums</t>
  </si>
  <si>
    <t>Katherine</t>
  </si>
  <si>
    <t>Obligatory roof photo from being at the BM today #MADM2018</t>
  </si>
  <si>
    <t>https://pbs.twimg.com/media/DmL3JkrX0AIyPDy.jpg</t>
  </si>
  <si>
    <t>All things museums, photography, and digital cultures. AHRC CDP PhD Researcher (NCL/V&amp;A)</t>
  </si>
  <si>
    <t>Georgia Mallin</t>
  </si>
  <si>
    <t>Thank you to everyone involved in #MADM2018 @britishmuseum with @dpc_chat! Whether you were presenting, facilitating, attending, networking, chattering or tweeting - it wouldn't have happened without you 😍</t>
  </si>
  <si>
    <t>arts//travel//food//museums//peanut butter//books. Leading a double life as an artist &amp; Knowledge Share Programme Manager @britishmuseum, all opinions my own</t>
  </si>
  <si>
    <t>Information Studies</t>
  </si>
  <si>
    <t>Our very own @MariaEcoGl (well, at least half, shared with the @hunterian :-)) gave the closing plenary at this great conference on #Museums and Digital Memory, a topic very close to our research, #MADM2018 co-organised by @britishmuseum and our close collaborators @dpc_chat</t>
  </si>
  <si>
    <t>Glasgow, Scotland</t>
  </si>
  <si>
    <t>Information Studies @UofGlasgow. Information Science, Archives, Museums, Libraries &amp; Special Collections, Digital Humanities. CILIP &amp; ARA accredited #TeamUofG💘</t>
  </si>
  <si>
    <t>http://www.gla.ac.uk/schools/humanities/research/hatiiresearch/</t>
  </si>
  <si>
    <t>Sophie Misson</t>
  </si>
  <si>
    <t>After such a positive day at #MADM2018, it makes seeing what’s happened Museu Nacional in Brazil even harder. I hope that we global museum folk can pull together in the future to help Brazil with its loss &amp; do what we can to help bring back that history to its people.</t>
  </si>
  <si>
    <t>Collections Information Officer at Shakespeare Birthplace Trust ❤️🏛 printmaker, heritage cheerleader &amp; lover of cats.</t>
  </si>
  <si>
    <t>https://www.linkedin.com/in/sophiemisson</t>
  </si>
  <si>
    <t>GRAVIL-GILBERT Elisa</t>
  </si>
  <si>
    <t>Very good conference today @britishmuseum all the more that I get some interesting insights for my thesis . Thanks so much #MADM2018 #mbadmb</t>
  </si>
  <si>
    <t>https://pbs.twimg.com/media/DmLyH8aW0AAUxlM.jpg</t>
  </si>
  <si>
    <t>Paris, France</t>
  </si>
  <si>
    <t>#DigitalMarketing I #Communication I Fond of #museum #art I #culture I #InsideDigitalRevolution #MBADMB @MBADMB #ESSEC Views are my own.</t>
  </si>
  <si>
    <t>http://linkedin.com/in/elisagravil</t>
  </si>
  <si>
    <t>Freja Robin Howat</t>
  </si>
  <si>
    <t>Really interesting talk from @mimacurator at #MADM2018 looking into narratives of transition, movement and migration. Museums/archives should be asking whose voices/what stories are missing and try to find moments of convergence and commonalities between different groups.</t>
  </si>
  <si>
    <t>https://pbs.twimg.com/media/DmLum_TXcAAglu9.jpg</t>
  </si>
  <si>
    <t>Brighton, England</t>
  </si>
  <si>
    <t>Research Assistant in Digital Archiving, University of Sussex. Helping hand @ Brighton Museum and the V&amp;A, London.</t>
  </si>
  <si>
    <t>#Neurosciences teach us the amount of information acceptable for our mind and museums adapt their exhibitions and website to it. V/@foxs_warren #MADM2018 #museums</t>
  </si>
  <si>
    <t>https://pbs.twimg.com/media/DmLtu9DXsAAEMyd.jpg</t>
  </si>
  <si>
    <t>MessyJelly</t>
  </si>
  <si>
    <t>#MADM2018 thanks to all the organisers and speakers today. You've been interesting, inspiring and informative 😀 everyone (and there were a lot of us!) seems to have thoroughly enjoyed it.</t>
  </si>
  <si>
    <t>Medicine &amp; History / Archaeology / Feminism / Science / Animals / Museums / Collections / Conservation / Art &amp; other stuff that fascinates me</t>
  </si>
  <si>
    <t>Arts&amp;Humanities HE</t>
  </si>
  <si>
    <t>S/o for Museums &amp; Digital Memory conf.#MADM2018 RT @GeorgiaMallin: Couldn't get a ticket to #MADM2018? Our first keynote @SimonTanner has published his presentation here #digitalpreservation #museums</t>
  </si>
  <si>
    <t>https://twitter.com/GeorgiaMallin/status/1036562543895035904
https://twitter.com/SimonTanner/status/1036559426872721408</t>
  </si>
  <si>
    <t>Arts&amp;Humanities as Higher Education:int'l research group&amp;network linked to an Int'l peer-reviewed journal.Tweets:Dr Jan Parker,Uni of Cambridge,Founder Ed.AHHE</t>
  </si>
  <si>
    <t>http://www.artsandhumanities.org</t>
  </si>
  <si>
    <t>Data Robot</t>
  </si>
  <si>
    <t>Trending now in EUROPE 🇦🇹: #Dönmez 🇧🇪: #eersteschooldag 🇩🇰: #dkbiz 🇩🇪: #wirsindmehr 🇮🇪: #MADM2018 🇫🇷: #ARMYSelcaDay 🇬🇷: #ΠΑΣΟΚ</t>
  </si>
  <si>
    <t>SLIP Ireland</t>
  </si>
  <si>
    <t>A good slide from @criticalsteph &amp; @clawre workshop "Finding your way to a digital solution: identifying paths &amp;amp; options - Hull City of Culture Workshop #MADM2018</t>
  </si>
  <si>
    <t>https://pbs.twimg.com/media/DmLmAeDWsAEfWsw.jpg</t>
  </si>
  <si>
    <t>Ireland</t>
  </si>
  <si>
    <t>Student Librarians &amp; Information Professionals Ireland is a group formed and run by postgraduate students studying library and information studies.</t>
  </si>
  <si>
    <t>http://slipireland.com</t>
  </si>
  <si>
    <t>Looking forward to looking at the final report that comes out of the Culture is Digital task force. These are just a few of the slides from Valerie Johnson's presentation #MADM2018</t>
  </si>
  <si>
    <t>https://pbs.twimg.com/media/DmLl4xAXgAA6EVD.jpg</t>
  </si>
  <si>
    <t>NMS Collections</t>
  </si>
  <si>
    <t>Favourite quote #MADM2018 Knowledge is Dynamic</t>
  </si>
  <si>
    <t>Norfolk, UK</t>
  </si>
  <si>
    <t>Norfolk Museum Service's (NMS) Collections Management department. Loans, Documentation, Rationalisation! If it's Museum Collections, we do it!</t>
  </si>
  <si>
    <t>http://www.museums.norfolk.gov.uk</t>
  </si>
  <si>
    <t>Leaving #MADM2018 with thoughts of Digital value Better understanding Emotional response Experience Memory retention Engaging better</t>
  </si>
  <si>
    <t>https://pbs.twimg.com/media/DmLlfvrX0AEpAZq.jpg</t>
  </si>
  <si>
    <t>"Let's keep the conversation going" Thank you @MariaEcoGl for wrapping up today's #MADM2018 conference so beautifully today. What next? This event should just be the beginning...</t>
  </si>
  <si>
    <t>https://pbs.twimg.com/media/DmLk0lnWwAEaYdN.jpg</t>
  </si>
  <si>
    <t>Sarah Middleton</t>
  </si>
  <si>
    <t>#MADM2018 @MariaEcoGl : this should be the first of many #digitalpreservation #culturalheritage conferences just like this! Let's keep the conversation going</t>
  </si>
  <si>
    <t>York</t>
  </si>
  <si>
    <t>Head of Communications and Advocacy for the Digital Preservation Coalition</t>
  </si>
  <si>
    <t>http://www.dpconline.org</t>
  </si>
  <si>
    <t>Sharon McMeekin</t>
  </si>
  <si>
    <t>Great day at #MADM2018! Tired after presenting 3 training sessions but inspired by all the people engaging with #digipres issues from the #Museums sector 💪🏻Thanks to @GlennCumiskey &amp; @GeorgiaMallin for making it happen! 👏🏻</t>
  </si>
  <si>
    <t>Recovering archivist and Head of Training and Skills with the DPC. Interested in digital preservation, archives, social media for heritage, and cake.</t>
  </si>
  <si>
    <t>#MADM2018 @MariaEcoGl : 'keep changing' this is a challenge for museums in order to remain the mirror of society.</t>
  </si>
  <si>
    <t>Tim Myatt</t>
  </si>
  <si>
    <t>Wrapping up at #MADM2018 lots to think about and take home to @Pitt_Rivers and our wider GLAM digital strategy.</t>
  </si>
  <si>
    <t>Oxford, UK.</t>
  </si>
  <si>
    <t>Tibetologist and Consultant at Oxford Risk. I live and learn in Oxford.</t>
  </si>
  <si>
    <t>http://timmyatt.wordpress.com/</t>
  </si>
  <si>
    <t>#MADM2018 @MariaEcoGl : how do we decide what to keep?! A recurring question....</t>
  </si>
  <si>
    <t>#MADM2018 @MariaEcoGl : value is not just economic, we must recognise this and exploit the value in our collections</t>
  </si>
  <si>
    <t>We've officially made it. #MADM2018 is attracting its very own collection of hashtag spam RT @21stCenturySF: Queen's butler caught making a music video! #XFactor #MADM2018 #Beer</t>
  </si>
  <si>
    <t>https://twitter.com/21stCenturySF/status/1036631276051197953</t>
  </si>
  <si>
    <t>pic.twitter.com/rxXnCzPQvD</t>
  </si>
  <si>
    <t>Digital Repository</t>
  </si>
  <si>
    <t>Wrapping up for #MADM2018 falls to Maria Economou from @UofGlasgow a lot of material to cover but she's doing a great job!</t>
  </si>
  <si>
    <t>https://pbs.twimg.com/media/DmLizfEX4AIm9uW.jpg</t>
  </si>
  <si>
    <t>Dublin, Ireland</t>
  </si>
  <si>
    <t>DRI is a certified, national trusted digital repository for Ireland's social &amp; cultural data. Browse our collections here: http://repository.dri.ie</t>
  </si>
  <si>
    <t>http://www.dri.ie</t>
  </si>
  <si>
    <t>#MADM2018 @MariaEcoGl : museums are a bit late in the #digitalpreservation game, advantage is that museums can benefit from the experience of those who have been working in this area</t>
  </si>
  <si>
    <t>Caylin Smith</t>
  </si>
  <si>
    <t>Thanks for your work making #madm2018 happen, @dpc_chat, @GlennCumiskey, and @GeorgiaMallin! I've come away with lots to think about</t>
  </si>
  <si>
    <t>Boston Spa/Leeds, England</t>
  </si>
  <si>
    <t>Legal Deposit Libraries Senior Project Manager at @britishlibrary / digital and AV archivist working as an IT project manager / #uknpld / opinions mine</t>
  </si>
  <si>
    <t>https://www.bl.uk/people/experts/caylin-smith</t>
  </si>
  <si>
    <t>Steph Taylor</t>
  </si>
  <si>
    <t>And I finally got to meet @MarDixon in person! A fab day indeed 😊 #MADM2018</t>
  </si>
  <si>
    <t>Down South,  UK</t>
  </si>
  <si>
    <t>Digi Pres, digital scholarship, digital libraries tea, knitting and frivolous chatter are specialities :) Also expert in killing mint plants. Views my own.</t>
  </si>
  <si>
    <t>http://criticalsteph.wordpress.com</t>
  </si>
  <si>
    <t>A fantastic day! Great work from @GlennCumiskey @GeorgiaMallin and everyone @dpc_chat 😊 #MADM2018</t>
  </si>
  <si>
    <t>Brilliant day at #MADM2018 plenty of wonderful and varied talks made all the more enjoyable by comfortable confernce chairs that don’t leave your bum numb after 5 minutes #academia #phdlife</t>
  </si>
  <si>
    <t>#MADM2018 @MariaEcoGl wraps up and reflects on the day's proceedings!</t>
  </si>
  <si>
    <t>https://pbs.twimg.com/media/DmLhearXoAA_P1l.jpg</t>
  </si>
  <si>
    <t>Christina Kamposiori</t>
  </si>
  <si>
    <t>#MADM2018 Very interesting session on preserving 3D digital assets &amp; the opportunities &amp;amp; challenges it presents for heritage organisations.</t>
  </si>
  <si>
    <t>London, UK</t>
  </si>
  <si>
    <t>Programme Officer at @RL_UK | PhD in #digitalhumanities | @UCLDH Affiliate | Research Libraries | Digital Scholarship | User Studies | Art History</t>
  </si>
  <si>
    <t>Anouska</t>
  </si>
  <si>
    <t>Very aware that while I was listening to Gabriella Warren-Smith's talk about the impact of the digital age on our attention span, 60% of my brain was focusing on the talk, and 30% was thinking about tweeting about the talk. #madm2018</t>
  </si>
  <si>
    <t>Milton Keynes, England</t>
  </si>
  <si>
    <t>Reader. Editor. Researcher. Blogger. Wannabe archivist. One of the monkeys sitting at infinite typewriters.</t>
  </si>
  <si>
    <t>http://infinitetypewriters.wordpress.com</t>
  </si>
  <si>
    <t>Ellie Miles</t>
  </si>
  <si>
    <t>"If it's five years old it's out of date, if it's 100 years old it's brilliant" - Sheldon Paquin from the Science Museum #MADM2018</t>
  </si>
  <si>
    <t>Documentary Curator at London Transport Museum ✨. 2nd place vegetable sculpture, 2016 Lambeth Country Show 🥈. She/her. Views my own (obvs).</t>
  </si>
  <si>
    <t>http://elliemiles.wordpress.com</t>
  </si>
  <si>
    <t>Archaeovision</t>
  </si>
  <si>
    <t>Here is a little preview of our 3D conservation recording for @manxheritage using real 3D laser scan data originally captured at 25 microns  #MADM2018</t>
  </si>
  <si>
    <t>https://vimeo.com/286346994</t>
  </si>
  <si>
    <t>Estonia, United Kingdom</t>
  </si>
  <si>
    <t>Archaeological consultancy company, specialising in RTI, photogrammetry, photography, laser scanning, building surveying and many more</t>
  </si>
  <si>
    <t>http://www.archaeovision.eu</t>
  </si>
  <si>
    <t>Fascinating to see the range of ways the same @sciencemuseum digital touring exhibitions are interpreted at different host museums - an adaptable, current, topical blueprint that venues can make their own #MADM2018 @mbojanowska @EleanorChant @SophieSzynaka @MissNestor</t>
  </si>
  <si>
    <t>https://pbs.twimg.com/media/DmLe78AWsAElixk.jpg</t>
  </si>
  <si>
    <t>#MADM2018 fascinating discussion on life logging and where to begin archiving all that digital stuff??!</t>
  </si>
  <si>
    <t>https://pbs.twimg.com/media/DmLe7ANXgAA9ibH.jpg</t>
  </si>
  <si>
    <t>Rachel Bateson now introducing the Science Museum Group’s ‘Blueprint Packs’ where digital resources are made available as travelling exhibitions with a 5 year life cycle to keep their contemporary content #MADM2018</t>
  </si>
  <si>
    <t>https://pbs.twimg.com/media/DmLeaHdW0AEvN-V.jpg</t>
  </si>
  <si>
    <t>Ashley Kelleher</t>
  </si>
  <si>
    <t>ty @SimonTanner for dropping this morning's daily philosophy, "perpetuity is a very long time" #MADM2018 #digitalpuppiesarenotjustforchristmas</t>
  </si>
  <si>
    <t>Canadian in London</t>
  </si>
  <si>
    <t>info architect, arts &amp; culture // #openGLAM 🌍 // systems librarian @britishmuseum</t>
  </si>
  <si>
    <t>http://ashleymariekelleher.com</t>
  </si>
  <si>
    <t>As a visitor and in a professional capacity, I do ♥ @sciencemuseum 😊 #MADM2018</t>
  </si>
  <si>
    <t>Pour les francophones #digitization is not #digitalization see the importance of digitization here under by #cultureisdigital #MADM2018 #mbadmb</t>
  </si>
  <si>
    <t>https://pbs.twimg.com/media/DmLdBIXW4AAf0mn.jpg</t>
  </si>
  <si>
    <t>Sheldon Paquin from Science Museum Group talking about planning the exhibition ‘Our Lives in Data’ including people’s preconceptions on what big data is &amp; ways of using art to challenge these #MADM2018</t>
  </si>
  <si>
    <t>https://pbs.twimg.com/media/DmLcdAsX0AAbK8d.jpg</t>
  </si>
  <si>
    <t>Excellent speaker from @sciencemuseum talking about how to communicate data to a general audience #MADM2018</t>
  </si>
  <si>
    <t>Brilliant to see Allison and Jude from @manxheritage presenting about digitisation at #CastleRushen in the #IsleOfMan - inc @mediahiimpact’s #3DScanning of the castle. #madm2018</t>
  </si>
  <si>
    <t>https://pbs.twimg.com/media/DmLcDEeX0AAyfYJ.jpg</t>
  </si>
  <si>
    <t>"We had loan agreements for our datasets" - Sheldon Paquin on the oddness of digital touring exhibitions @sciencemuseum #MADM2018</t>
  </si>
  <si>
    <t>https://pbs.twimg.com/media/DmLcBIFXgAAWQi-.jpg</t>
  </si>
  <si>
    <t>Sheldon discussing the 'Our Lives in Data' exhibition at the Science Museum - they had loan agreements for datasets. I loved their TfL oyster data sets in this, it worked so well and definitely exhibition goals #madm2018</t>
  </si>
  <si>
    <t>Learning more about lifelogging and other ways our lives are not that far off from Black Mirror #MADM2018</t>
  </si>
  <si>
    <t>pic.twitter.com/BhygxjDNzg</t>
  </si>
  <si>
    <t>Amy Moffat</t>
  </si>
  <si>
    <t>Important to remember for digital content and display, but also for #wellbeing! Will have to repeat this to myself whilst flitting between my million tabs at work. @Museum_Wellness @CHWAlliance #MADM2018</t>
  </si>
  <si>
    <t>https://pbs.twimg.com/media/DmLbIACX4AEgARm.jpg</t>
  </si>
  <si>
    <t>Museumy type person who loves history, archaeology, anime, manga, video games and heavy metal. Works @BethlemMuseum</t>
  </si>
  <si>
    <t>Exciting new/future updates in CT scanning and the potential for this in analysis of mummified remains #MADM2018 #mummification #3dscanning #Archaeology #anthropology</t>
  </si>
  <si>
    <t>https://pbs.twimg.com/media/DmLaxr3W4AA3iBo.jpg</t>
  </si>
  <si>
    <t>21st Ceηtury News</t>
  </si>
  <si>
    <t>Queen's butler caught making a music video! #XFactor #MADM2018 #Beer</t>
  </si>
  <si>
    <t>London, Paris, New York</t>
  </si>
  <si>
    <t>Latest 21st century mind-bending news and discoveries from around the world and deepest depths of space ...</t>
  </si>
  <si>
    <t>Looking forward to seeing how #HLFsupported #MuseumFutures programme can help! @britishmuseum @HLFLondon @nsalinasburton @GlennCumiskey @mbojanowska #MADM2018 RT @fauxtoegrafik: Interesting that so any speakers at #MADM2018 referencing need for new &amp; better skills in workforce. Striking (and healthy) that there's relatively little focus on technology.</t>
  </si>
  <si>
    <t>https://twitter.com/fauxtoegrafik/status/1036628173126029314</t>
  </si>
  <si>
    <t>ff</t>
  </si>
  <si>
    <t>I'm doomed. #MADM2018</t>
  </si>
  <si>
    <t>https://pbs.twimg.com/media/DmLabnFXoAIxGRr.jpg</t>
  </si>
  <si>
    <t>Digitising in London. Editor of (currently paused) literary magazine. Childrearer. General maker/fixer. Views my own.</t>
  </si>
  <si>
    <t>Fun to talk about life logging at a museums and DP conference. I love how varied my job is! #MADM2018 @britishmuseum</t>
  </si>
  <si>
    <t>I’ve been looking forward to this presentation from Gabriella Warren-Smith. We - museums - have a lot to learn about how our visitors consume and remember in the postdigital era - what works? And what is disruptive? #MADM2018</t>
  </si>
  <si>
    <t>https://pbs.twimg.com/media/DmLZqZJW4AEd_YE.jpg</t>
  </si>
  <si>
    <t>Sarah Hardy</t>
  </si>
  <si>
    <t>Incredible to see what #digital means for our #Museum #collections at the #MADM2018 conference at the @britishmuseum today</t>
  </si>
  <si>
    <t>https://pbs.twimg.com/media/DmLYcxfWsAEVDsT.jpg</t>
  </si>
  <si>
    <t>Lancashire//London</t>
  </si>
  <si>
    <t>set to take the art world by storm</t>
  </si>
  <si>
    <t>Charlotte Willett</t>
  </si>
  <si>
    <t>Incredible stats on the amount of information we consume and create compared to in the 1980s #MADM2018</t>
  </si>
  <si>
    <t>https://pbs.twimg.com/media/DmLYTeGX4AUfv6o.jpg</t>
  </si>
  <si>
    <t>Digitisation archivist at The Baring Archive, all views are my own. I have an excessive love of archives, baking, museums, inclusion and classics!</t>
  </si>
  <si>
    <t>Kevin Bacon</t>
  </si>
  <si>
    <t>Interesting that so any speakers at #MADM2018 referencing need for new &amp; better skills in workforce. Striking (and healthy) that there's relatively little focus on technology.</t>
  </si>
  <si>
    <t>Digital ringmaster for @BrightonMuseums -- but don't blame them for my utterances.</t>
  </si>
  <si>
    <t>http://fauxtoegrafik.wordpress.com/</t>
  </si>
  <si>
    <t>Preservica</t>
  </si>
  <si>
    <t>Valerie Johnson from @UkNatArchives presents her keynote speech at #MADM2018 - touching on how #digitalpreservation initiatives can be an excellent way to generate real value through access and shared knowledge. @britishmuseum @dpc_chat</t>
  </si>
  <si>
    <t>https://pbs.twimg.com/media/DmLXlNwX4AE30Q5.jpg</t>
  </si>
  <si>
    <t>Worldwide</t>
  </si>
  <si>
    <t>Protecting the world’s digital memory. Our active digital preservation software is changing the way organizations future-proof digital information.</t>
  </si>
  <si>
    <t>http://www.preservica.com</t>
  </si>
  <si>
    <t>De Morgan Foundation</t>
  </si>
  <si>
    <t>We’re at the #MADM2018 conference today thinking about the digital preservation of our collections. How could #3Dscanning help us understand and share our #ceramic #collection</t>
  </si>
  <si>
    <t>https://pbs.twimg.com/media/DmLXqnBWsAAvl8T.jpg</t>
  </si>
  <si>
    <t>Sarah Hardy, De Morgan Curator, tweeting about our collection of ceramics and paintings by Victorian artists William and Evelyn De Morgan</t>
  </si>
  <si>
    <t>http://www.demorgan.org.uk</t>
  </si>
  <si>
    <t>Maria Economou</t>
  </si>
  <si>
    <t>I really liked the idea of “persistent” digital content that @VJJohnson1 from @UkNatArchives referred to (achieved, or at least is aimed at, when sustainability, value, content selection &amp; interoperability has been thought through) #CultureIsDigital #MADM2018 Next steps in photo</t>
  </si>
  <si>
    <t>https://pbs.twimg.com/media/DmLXQh3XgAAYwyR.jpg</t>
  </si>
  <si>
    <t>Glasgow</t>
  </si>
  <si>
    <t>Senior Lecturer Museum Studies/Curator at University of Glasgow:@UofGInfoStudies &amp; @hunterian Digital Museology, Evaluation, Coordinator @ScotDigiCH @emotive_eu</t>
  </si>
  <si>
    <t>http://www.gla.ac.uk/schools/humanities/staff/mariaeconomou/</t>
  </si>
  <si>
    <t>Tom Ensom</t>
  </si>
  <si>
    <t>Super interesting presentation by Laura Chaillie on use of smart phones as conservation tools. Particularly her description of the variability in smartphone cameras, software, etc, undocumented by manufacturers and best understood through hobbiest 'teardowns'. #MADM2018</t>
  </si>
  <si>
    <t>https://pbs.twimg.com/media/DmLWsHGWsAAiTq1.jpg</t>
  </si>
  <si>
    <t>Digital Conservator. Currently finishing PhD at KCL &amp; Tate --- interested in preservation of complex digital things (media art / software / video games / +)</t>
  </si>
  <si>
    <t>http://tomensom.com/</t>
  </si>
  <si>
    <t>“Value is not always economic” from @VJJohnson1 of @UkNatArchives at #MADM2018</t>
  </si>
  <si>
    <t>https://pbs.twimg.com/media/DmLVnFBWwAESvGl.jpg</t>
  </si>
  <si>
    <t>Mar Dixon 🍰</t>
  </si>
  <si>
    <t>#MADM2018 I value their sentiment but feel realistically there will be so many loop holes that will leave those needing the help the most will be lost. Love that they want sustainability!</t>
  </si>
  <si>
    <t>✅</t>
  </si>
  <si>
    <t>Shropshire, UK via USA</t>
  </si>
  <si>
    <t>Troublemaker. Mom who loses arguments to a teen. @lovetheatreday @AskaCurator #MuseumSelfie @CultureThemes @TeensInMuseums #MusMeme @52museums @MuseumWeek</t>
  </si>
  <si>
    <t>http://www.mardixon.com</t>
  </si>
  <si>
    <t>Joseph Padfield</t>
  </si>
  <si>
    <t>Would a collection of almost finished it template funding application help? Raises the question of uniqueness and quality ? #MADM2018</t>
  </si>
  <si>
    <t>Conservation Scientist, (at the National Gallery, London), digital imaging, information storage &amp; dissemination, preventive convservation, lighting and LEDs.</t>
  </si>
  <si>
    <t>https://research.ng-london.org.uk</t>
  </si>
  <si>
    <t>Creative_Factory_Boro</t>
  </si>
  <si>
    <t>Middlesbrough's @paulstewart90 @MAW_weekender and @mimacurator @mimauseful are at #MADM2018 @britishmuseum RT @paulstewart90: All about to kick off @britishmuseum #MADM2018 ready with @mimacurator to talk digital and constituent led curating</t>
  </si>
  <si>
    <t>https://twitter.com/paulstewart90/status/1036547860949594113</t>
  </si>
  <si>
    <t>https://pbs.twimg.com/media/DmKOyCPW4AAZ-o_.jpg</t>
  </si>
  <si>
    <t>Creative Factory is Middlesbrough's Great Place Tees Valley scheme. Valuing Artists. Supported by @hlfnortheast @ace_national</t>
  </si>
  <si>
    <t>Graphic_Design_House</t>
  </si>
  <si>
    <t>Do you need #letterhead #design? #Logo #BusinessCard #OfficeCover #Corporateidentity #Branding #mr8k #unionstrong #iamup #technology #greatnorthrun #madm2018 #howcanweflourish #herefordhour #bristol #amwriting #christian #cricket</t>
  </si>
  <si>
    <t>https://pbs.twimg.com/media/DmLUvJgVsAUu90g.jpg</t>
  </si>
  <si>
    <t>Professional #graphicdesigner. Service of Flyer,Business card,Logo, Banner,Ads,Cover,brochure,Design, Photo Edit,Face Swap,Remove background etc.plz contact :)</t>
  </si>
  <si>
    <t>https://goo.gl/i87McS</t>
  </si>
  <si>
    <t>Really liked @VJJohnson1's metaphor for digitisation: digitisation is like the night sky, where there's brighter clusters representing what's been digitised, and the rest of the sky is dark. We need to be aware of what's been left out. #MADM2018</t>
  </si>
  <si>
    <t>Digitisation doesn’t always create open content. Also, we need to recognise that there will be change &gt; There will always be innovation, therefore disruption in his area @VJJohnson1 @UkNatArchives #MADM2018</t>
  </si>
  <si>
    <t>Second namecheck for #DRI for a keynote speaker- this time from @UkNatArchives Valerie Johnson 😁 talking about national strategies for digitisation and preservation #MADM2018</t>
  </si>
  <si>
    <t>https://pbs.twimg.com/media/DmLUBfvXcAAo5TX.jpg</t>
  </si>
  <si>
    <t>#MADM2018 @VJJohnson1 : #digitalpreservation increases longevity of use of the digitised material</t>
  </si>
  <si>
    <t>Simon Whibley</t>
  </si>
  <si>
    <t>More #MADM2018 #slideswithoutcontext @britishmuseum 2/2</t>
  </si>
  <si>
    <t>https://pbs.twimg.com/media/DmLT6AhW0AAMB7v.jpg</t>
  </si>
  <si>
    <t>Wetherby, Leeds, UK</t>
  </si>
  <si>
    <t>Tweeting digital preservation, retro computing, British Library, music, science fiction, photos of trees</t>
  </si>
  <si>
    <t>Does the UK need a national digitisation strategy? Begs question of how #Brexit might reframe this, especially if subject / theme based. #MADM2018</t>
  </si>
  <si>
    <t>#MADM2018 selection of #slideswithoutcontext #digitalpreservation @britishmuseum @GlennCumiskey</t>
  </si>
  <si>
    <t>https://pbs.twimg.com/media/DmLTlZNX0AIuKsQ.jpg</t>
  </si>
  <si>
    <t>A really interesting case study from @MuseumEALife #MADM2018 demonstrating how digitisation can provide new volunteering opportunities to widen engagement - remote and out of hours roles can attract diverse demographics and help achieve #digital aims!</t>
  </si>
  <si>
    <t>Should we have a national digitisation strategy for museums and archives? #madm2018 #museum #data #digital</t>
  </si>
  <si>
    <t>Kathleen Lawther</t>
  </si>
  <si>
    <t>Do we want a national strategy for digitisation? Yes. Somebody write and implement one, instead of asking these same questions again and again 🤦🏼‍♀️#MADM2018</t>
  </si>
  <si>
    <t>Hove, actually</t>
  </si>
  <si>
    <t>Multi-tasking museum person. What John Stuart Mill could do as an infant at dawn, I too can do on a Saturday afternoon in my prime.</t>
  </si>
  <si>
    <t>http://acidfreeblog.com/</t>
  </si>
  <si>
    <t>#MADM2018 @VJJohnson1 do we need a national policy for #digitization... ? A way to introduce #digitalpreservation at the point of creation perhaps?</t>
  </si>
  <si>
    <t>Jack Kirby</t>
  </si>
  <si>
    <t>Build it and they won't necessarily come: @VJJohnson1 explains that digitisation doesn't always create open content in itself. It needs to be combined with access and inclusion. #MADM2018</t>
  </si>
  <si>
    <t>Manchester, UK</t>
  </si>
  <si>
    <t>Group Head of Collections Services @sciencemuseum Group, walker, fan: maps, architecture, art, photos, heritage, local distinctiveness, food, ale. Views own.</t>
  </si>
  <si>
    <t>#MADM2018 I can’t believe we are still talking about and justifying digitisation.</t>
  </si>
  <si>
    <t>.@VJJohnson1 from @UkNatArchives on the UK national strategy #CultureIsDigital 4 Strategic themes: 1 content; 2 data interoperability; 3 economic models; 4 sustainability #MADM2018</t>
  </si>
  <si>
    <t>#MADM2018 #digitization challenges: increasing visibility of content, understanding why you are digitising, creating 'open' content</t>
  </si>
  <si>
    <t>CoSector</t>
  </si>
  <si>
    <t>A HOW Breakout session on finding your way to a digital solution by our Research Technologies Consultant @CriticalSteph and @clawre #MADM2018</t>
  </si>
  <si>
    <t>https://pbs.twimg.com/media/DmLR8hCWsAEMiYL.jpg</t>
  </si>
  <si>
    <t>Home of @UoLondon’s professional &amp; student services. Digital learning, IT infrastructure, Digital research technologies, Student housing &amp; recruitment.</t>
  </si>
  <si>
    <t>http://www.CoSector.com</t>
  </si>
  <si>
    <t>#MADM2018 Understand why digitising is important and when not.</t>
  </si>
  <si>
    <t>https://pbs.twimg.com/media/DmLR6hAWwAAfOy_.jpg</t>
  </si>
  <si>
    <t>John McDonough</t>
  </si>
  <si>
    <t>Strategic themes for digitisation across UK cultural institutions. #MADM2018 @UkNatArchives</t>
  </si>
  <si>
    <t>https://pbs.twimg.com/media/DmLR2OdX4AAuPRL.jpg</t>
  </si>
  <si>
    <t>Dublin</t>
  </si>
  <si>
    <t>Director National Archives @NARIreland and member of @irishmanuscript. Wading through the digital sea. All mutterings and retweets my own.</t>
  </si>
  <si>
    <t>http://www.nationalarchives.ie</t>
  </si>
  <si>
    <t>Want to mention the new contemporary collecting group jiscmail on the digital memory conference tag - sign up here if you're working in this area:  #MADM2018</t>
  </si>
  <si>
    <t>https://www.jiscmail.ac.uk/cgi-bin/webadmin?SUBED1=CONTEMPORARYCOLLECTING&amp;A=1</t>
  </si>
  <si>
    <t>#MADM2018 #CultureIsDigital Changes including IP, funding, time. IMO that will never change.</t>
  </si>
  <si>
    <t>https://pbs.twimg.com/media/DmLRWNSXcAAs5ef.jpg</t>
  </si>
  <si>
    <t>#MADM2018 #museumselfie with @CriticalSteph @JoePadfield @arranjrees :-)</t>
  </si>
  <si>
    <t>https://pbs.twimg.com/media/DmLQuMGWwAAmRqi.jpg</t>
  </si>
  <si>
    <t>Richard Wright</t>
  </si>
  <si>
    <t>#madm2018 presentation on digital art by curator of time based media. But everything changes over time: paintings, statues, buildings, cities. I'm feeling particularly time-based myself</t>
  </si>
  <si>
    <t>Consultant in audiovisual archive digitisation and preservation</t>
  </si>
  <si>
    <t>http://preservationguide.co.uk</t>
  </si>
  <si>
    <t>Our team has been busy at #MADM2018 meeting and greeting visitors to the stand amongst the fantastic presentations! #digitalpreservation #access #museums @britishmuseum @dpc_chat</t>
  </si>
  <si>
    <t>https://pbs.twimg.com/media/DmLOZkOXcAM9ZEn.jpg</t>
  </si>
  <si>
    <t>Smartsourcing! Great presentation from Laura Chaillie on the pitfalls and success stories of digital preservation using smartphones #MADM2018</t>
  </si>
  <si>
    <t>https://pbs.twimg.com/media/DmLNLpPW0AAp4L2.jpg</t>
  </si>
  <si>
    <t>Fascinating talk this morning from @simontanner on different modes of value for memory institutions, such as education, utility, and legacy. #madm2018</t>
  </si>
  <si>
    <t>A lot of what Laura Chaillie mentions on why smartphones haven't been widely used in conservation work can be applied to broader discussions about the challenges of preserving apps and mobile technology #MADM2018</t>
  </si>
  <si>
    <t>https://pbs.twimg.com/media/DmLMWKXW4AAQX9V.jpg</t>
  </si>
  <si>
    <t>Caitlin S(top Kavanaugh)</t>
  </si>
  <si>
    <t>The universe has a bad sense of humor -- the Museums and Digital Memory conference is happening now 😔 #MADM2018 #MuseuNacional</t>
  </si>
  <si>
    <t>OH➡NJ➡️NYC➡️AZ➡️DC and MD</t>
  </si>
  <si>
    <t>#scicomm specialist | evolutionary anthropology MA/PhD | #sciengage #scipol #evoed #DBER #histSTM | #celiac 🐶🐈 #rescue | personal account | original Tweets mine</t>
  </si>
  <si>
    <t>#MADM2018 @clawre why not come together and work with other organisations to implement a shared #digitalpreservation system? Hear hear! Budgets are tight, collaboration can be the way forward.</t>
  </si>
  <si>
    <t>"Begin with an object, material or digital, and eventually, end up with a digital object on the web, for the world" - Tanya Sjraber on growing @britishmuseum 's collections database #MADM2018</t>
  </si>
  <si>
    <t>https://pbs.twimg.com/media/DmLKmbbWsAYq0bt.jpg</t>
  </si>
  <si>
    <t>Good documentation is always linked to good communication - and collaborations are often crucial #MADM2018</t>
  </si>
  <si>
    <t>#MADM2018 options for a #digitalpreservation: out of the box, build your own, modify an existing system with customisation... Whatever works best for you.</t>
  </si>
  <si>
    <t>Wish I could capture the buzz of @CriticalSteph and @clawre's great workshop session on finding your own digital solution - but here's a rubbish grainy photo instead #MADM2018 #digitalpreservation #museums @britishmuseum @dpc_chat @2017Hull</t>
  </si>
  <si>
    <t>https://pbs.twimg.com/media/DmLJ9oTWsAEe2Kh.jpg</t>
  </si>
  <si>
    <t>This tool for creating network maps formed one response to MIMA's approach to collecting migration and diaspora experiences  #MADM2018</t>
  </si>
  <si>
    <t>https://graphcommons.com</t>
  </si>
  <si>
    <t>No one-size-fits-all approach can be employed for preserving software - based art according to T. Ensom #MADM2018</t>
  </si>
  <si>
    <t>https://pbs.twimg.com/media/DmLJ7doWsAAvEur.jpg</t>
  </si>
  <si>
    <t>Hannah Winn</t>
  </si>
  <si>
    <t>Software based art conservation @britishmuseum #MADM2018</t>
  </si>
  <si>
    <t>https://pbs.twimg.com/media/DmLJ6iTXoAMTSBF.jpg</t>
  </si>
  <si>
    <t>Digital @ThePostalMuseum.</t>
  </si>
  <si>
    <t>Digital @ThePostalMuseum. Conservation Scientist turned to the dark side. Working on the latest interactive and digital preservation of culture and heritage.</t>
  </si>
  <si>
    <t>Lots of interesting case studies for digital preservation presented by @Tom_Ensom from @Tate with the conclusion that there is no one-size-fits-all solution for Preservation of these artefacts #MADM2018</t>
  </si>
  <si>
    <t>https://pbs.twimg.com/media/DmLJ3i9X4AYkLjQ.jpg</t>
  </si>
  <si>
    <t>Caitlin Peck now sharing how having multiple, flexible approaches to volunteering has not only increased the speed of digitising their ‘🐘 sized’ analogue museum records but also helped diversity audiences engaging with the Museum of East Anglian Life #MADM2018</t>
  </si>
  <si>
    <t>https://pbs.twimg.com/media/DmLJ2aVX0AEFs3j.jpg</t>
  </si>
  <si>
    <t>Alec Ward</t>
  </si>
  <si>
    <t>Very interesting to hear about the @MuseumEALife’s digitisation project using different strands of volunteering! So far 3,470 object records digitised (through which they’ve found 70 “star objects”) with all types of people volunteering, for so many different reasons. #MADM2018</t>
  </si>
  <si>
    <t>https://pbs.twimg.com/media/DmLJw4sXgAA25DK.jpg</t>
  </si>
  <si>
    <t>Chelmsford / London</t>
  </si>
  <si>
    <t>Works for @MuseumofLondon with @LondonMusDev doing #digital stuff. Committee member for @UKMCG &amp; @DLNET. Games with @DXPgaming. Opinions my own &amp; all that jazz.</t>
  </si>
  <si>
    <t>http://www.doublexp.net</t>
  </si>
  <si>
    <t>Quick, everyone in #dpc, tell 5 people you know about the @UKWebArchive It will make @jasonmarkwebber very happy #MADM2018</t>
  </si>
  <si>
    <t>Jenny Cousins</t>
  </si>
  <si>
    <t>Our curator Caitlin talking up our brilliant collections volunteers at the British Museum #MADM2018 @MuseumEALife</t>
  </si>
  <si>
    <t>https://pbs.twimg.com/media/DmLJlBmX0AEG768.jpg</t>
  </si>
  <si>
    <t>Stowmarket, England</t>
  </si>
  <si>
    <t>Museum of East Anglian Life</t>
  </si>
  <si>
    <t>http://www.eastanglianlife.org.uk</t>
  </si>
  <si>
    <t>Dr Oonagh Murphy</t>
  </si>
  <si>
    <t>After hours volunteering + remote volunteering = a more diverse volunteer base (younger! And more geographically distributed) #MADM2018</t>
  </si>
  <si>
    <t>https://pbs.twimg.com/media/DmLJhTEW4AAWtBs.jpg</t>
  </si>
  <si>
    <t>London | Belfast | On a plane</t>
  </si>
  <si>
    <t>Lecturer in Arts Management @goldsmithsUoL interested in digital culture, design thinking, capacity building. Mostly working with visual arts orgs and museums.</t>
  </si>
  <si>
    <t>http://www.oonaghmurphy.com</t>
  </si>
  <si>
    <t>STIG</t>
  </si>
  <si>
    <t>Amazing ☞ #MADM2018 Always use a ☛ #Blackcab</t>
  </si>
  <si>
    <t>https://vine.co/v/5uX0DeziYv9</t>
  </si>
  <si>
    <t>https://pbs.twimg.com/media/DmLJUhJWwAAn5PG.jpg</t>
  </si>
  <si>
    <t>At It!</t>
  </si>
  <si>
    <t>Dr. Gabrielle Heffernan</t>
  </si>
  <si>
    <t>We’ve been asked to tell 5 people that the @UKWebArchive exists. The #UKWebArchive exists. Go check it out, it’s awesome! Job done. #MADM2018 #Archives #Museums #Digital</t>
  </si>
  <si>
    <t>https://pbs.twimg.com/media/DmLJOUtXgAAs5r1.jpg</t>
  </si>
  <si>
    <t>Egyptologist, archaeologist, history geek | Curatorial Manager @TullieHouse | NW Rep. @MuseumsAssoc | Alum. @unibirmingham &amp; @cambridge_uni | Views my own</t>
  </si>
  <si>
    <t>https://www.linkedin.com/in/gabrielle-heffernan-29578032?trk=hp-identity-name</t>
  </si>
  <si>
    <t>Museum of East Anglia - is using @Meetup to encourage new people to come into the museum, socialise after hours + help to digitise their collection #MADM2018</t>
  </si>
  <si>
    <t>https://pbs.twimg.com/media/DmLJDC7W0AAPzku.jpg</t>
  </si>
  <si>
    <t>Delighted to find out about  from @jasonmarkwebber at #MADM2018 ans even more to discover that #dpc scores 79%.</t>
  </si>
  <si>
    <t>http://www.archiveready.com</t>
  </si>
  <si>
    <t>My sharing with #MADM2018 would be so much better without all the typos.</t>
  </si>
  <si>
    <t>pic.twitter.com/z417D5iT2q</t>
  </si>
  <si>
    <t>#MADM2018 some of the basics to consider when starting to think about a #digitalpreservation system: do you have a dev team, do you have expertise working with providers, do you want to host/have the system hosted, what is your budget, what are your organisational reqs?</t>
  </si>
  <si>
    <t>Dr Laura Sellers</t>
  </si>
  <si>
    <t>There's a UK webarchive, get in touch with them to make sure your website is preserved for the future #MADM2018 #digitalpreservation #BritishLibrary</t>
  </si>
  <si>
    <t>https://pbs.twimg.com/media/DmLIslgW0AERQwr.jpg</t>
  </si>
  <si>
    <t>Leeds</t>
  </si>
  <si>
    <t>Historian researching Victorian #histsci #histmed and #histpsyc. PhD from @UniversityLeeds. Former woman of all trades at @museumofhstm now at @thackraymuseum</t>
  </si>
  <si>
    <t>https://lauramarysellers.wordpress.com/</t>
  </si>
  <si>
    <t>Everlasting Godstopper</t>
  </si>
  <si>
    <t>If you look closely, you can see my wife giving a keynote talk. #MADM2018 RT @CoSector_UoL: @julieallinson and Laura Giles providing a HOW? speech on creating a digital archive from the beginning #MADM2018</t>
  </si>
  <si>
    <t>https://twitter.com/CoSector_UoL/status/1036604630468386817</t>
  </si>
  <si>
    <t>https://pbs.twimg.com/media/DmLCY9tWsAUI1Hg.jpg</t>
  </si>
  <si>
    <t>York, U.K</t>
  </si>
  <si>
    <t>Sometime philosopher. Gender critical. Not cis. Possibly trans-Northern. Married to the fantastic @julieallinson and humum to terrierists, Scrabble and Matilda.</t>
  </si>
  <si>
    <t>Eloisa Rodrigues</t>
  </si>
  <si>
    <t>Interesting to learn more how the UK web space is being archived by @UKWebArchive at the #BritishLibrary and how that can influence desig thinking #MADM2018 #w</t>
  </si>
  <si>
    <t>https://pbs.twimg.com/media/DmLIQFlW0AEfcay.jpg</t>
  </si>
  <si>
    <t>art historian/museum geek/art lover/archives and digital enthusiast/cyclist/capoeirista/soon-to-be M3C PhD candidate researching Brazilian art in the UK</t>
  </si>
  <si>
    <t>http://southamericando.wordpress.com</t>
  </si>
  <si>
    <t>.@britishmuseum .org is 73% archive-ready; vs @britishlibrary at 81%. Work to do! ty Jason Webber @UKWebArchive #MADM2018</t>
  </si>
  <si>
    <t>I have neck ache from enthusiastic head nodding at @fauxtoegrafik ‘s fantastic #MADM2018 presentation on collections reuse and the importance of storytelling - brilliant work @BrightonMuseums</t>
  </si>
  <si>
    <t>A question posed by @mimacurator, describing MIMA's aim to create 'a useful museum'. Some projects to achieve this through a digital method, some using other means. #MADM2018</t>
  </si>
  <si>
    <t>https://pbs.twimg.com/media/DmLHVoCX0AA85lt.jpg</t>
  </si>
  <si>
    <t>Paging @agow - the video of when you spent an hour on the plinth in Trafalgar Square? It's saved in the UKWebArchive which is becoming one of the UK's largest archives of moving pictures #MADM2018</t>
  </si>
  <si>
    <t>#MADM2018 for those in the breakout with @CoSector_UoL and @2017Hull, this is a handy thing when making your #digitalpreservation business case:</t>
  </si>
  <si>
    <t>http://wiki.dpconline.org/index.php?title=Digital_Preservation_Business_Case_Toolkit</t>
  </si>
  <si>
    <t>#MADM2018 Research and collaboration between different teams are important parts of @Tate's strategy for preserving digital art.</t>
  </si>
  <si>
    <t>https://pbs.twimg.com/media/DmLHIb6XoAAMPUb.jpg</t>
  </si>
  <si>
    <t>The challenges &amp; opportunities of collecting the @UKWebArchive @britishlibrary @jasonmarkwebber #MADM2018 The example of early versions of the BL website, initially called a portico</t>
  </si>
  <si>
    <t>https://pbs.twimg.com/media/DmLHGOfX0AI_3Kv.jpg</t>
  </si>
  <si>
    <t>The evolution of the @britishlibrary website. All very retro... #MADM2018 @jasonmarkwebber</t>
  </si>
  <si>
    <t>https://pbs.twimg.com/media/DmLHDCKX4AAK522.jpg</t>
  </si>
  <si>
    <t>Elsa Price</t>
  </si>
  <si>
    <t>The second most important point I am taking away from #MADM2018 is simply that: if museums are serious about digital then they need to put as much investment into their digital infrastructure &amp; storage as they do their physical infrastructures &amp;amp; stores</t>
  </si>
  <si>
    <t>Carlisle, England</t>
  </si>
  <si>
    <t>Museum Professional Curating Archaeology @TullieHouse. A Middling Medievalist. @yorkmedieval Post-graduate. Beaver Enthusiast. Modest Runner. All views my own.</t>
  </si>
  <si>
    <t>http://truseum.co.uk</t>
  </si>
  <si>
    <t>Arran Rees</t>
  </si>
  <si>
    <t>No social media collected (but lots of other amazing stuff obviously). Hence my PhD topic! 🤓 #MADM2018</t>
  </si>
  <si>
    <t>https://pbs.twimg.com/media/DmLGuhSWsAA2_rS.jpg</t>
  </si>
  <si>
    <t>Museums, memes, popular culture and travelling. Doing a PhD in museums, digital collecting and social media @fahacs - @universityleeds</t>
  </si>
  <si>
    <t>http://www.fine-art.leeds.ac.uk/people/arran-rees/</t>
  </si>
  <si>
    <t>Dafydd James</t>
  </si>
  <si>
    <t>STORIES BEAT DATA FOR ENGAGEMENT! - @fauxtoegrafik #MADM2018</t>
  </si>
  <si>
    <t>Cardiff</t>
  </si>
  <si>
    <t>Head of Digital @AmgueddfaCymru - National Museum Wales, Chair of Tech @pplscollection, Chair of the @ukmcg. Views mine.</t>
  </si>
  <si>
    <t>https://www.linkedin.com/in/dafjames</t>
  </si>
  <si>
    <t>#MADM2018 @tate as cross learning for best practice</t>
  </si>
  <si>
    <t>https://pbs.twimg.com/media/DmLGPqpX4AANlFT.jpg</t>
  </si>
  <si>
    <t>#MADM2018 @CriticalSteph use the language your organisation understands when talking about #digitalpreservation</t>
  </si>
  <si>
    <t>Loved this part of the conference, always nice to have a souvenir 😊 #MADM2018 RT @eloisarod: Badge making at #MADM2018 with @cewillett1 #museumgeeks #digitalinmuseums</t>
  </si>
  <si>
    <t>https://twitter.com/eloisarod/status/1036597122605494272</t>
  </si>
  <si>
    <t>https://pbs.twimg.com/media/DmK7lbGWwAAP3aC.jpg</t>
  </si>
  <si>
    <t>Julie Moominson</t>
  </si>
  <si>
    <t>Shout out to the whole team for our Hull project: @CriticalSteph (cosector) @anusharang (cottage labs), plus @clawre , Laura Giles and Simon Wilson from Hull #MADM2018</t>
  </si>
  <si>
    <t>York, UK</t>
  </si>
  <si>
    <t>Geek. Lead Developer (Samvera gubbins), University of London. Humum of @scrabblefscruff and @matildabscruff. Married to Dr. Moody. Loves all pibbles.</t>
  </si>
  <si>
    <t>#MADM2018 @clawre @CriticalSteph what value are you trying to espouse from your digital collections? Identify that and use it to make the case for your #digitalpreservation system. Identify the key drivers for your own org. All are different.</t>
  </si>
  <si>
    <t>Important reminder from @CoSector_UoL @julieallinson - when planning #digitalpreservation don't forget about the end user! It's not just about what staff want, it's about how it will be used #MADM2018</t>
  </si>
  <si>
    <t>#MADM2018 @clawre it's hard to get your head around building one HUGE #digitalpreservation repository, breaking it down into component parts makes it easier to see what can be done with other/existing systems</t>
  </si>
  <si>
    <t>Tanya Szrajber shows the catalogue headings for the objects @britishmuseum based on Spectrum standard. Incredibly demanding therefore necessarily collaborative and long term processes. True of digital too #MADM2018</t>
  </si>
  <si>
    <t>MirrorWeb</t>
  </si>
  <si>
    <t>Come and say hello to our team at #MADM2018. We're in the Clore Centre for Education (West Foyer) ready to talk web and social media #archiving with you. And don't forget you can also get a FREE archive - speak with our team to learn more.</t>
  </si>
  <si>
    <t>https://pbs.twimg.com/media/DmLERnqWwAENNmL.jpg</t>
  </si>
  <si>
    <t>United Kingdom</t>
  </si>
  <si>
    <t>We archive thousands of websites a year, hundreds of social media accounts, and index billions of documents.</t>
  </si>
  <si>
    <t>http://www.mirrorweb.com</t>
  </si>
  <si>
    <t>Kevin Bacon discussing what happens when we ‘take away the bricks’ and think about museum collections beyond the institutional buildings they are associated with #MADM2018 #museumswithoutwalls</t>
  </si>
  <si>
    <t>https://pbs.twimg.com/media/DmLFIAdXsAAyx0m.jpg</t>
  </si>
  <si>
    <t>.@PFalcaoTate just said my favourite word: documentation. 👏👐✍️👩‍💻 #MADM2018</t>
  </si>
  <si>
    <t>For Brighton Museums, indirect monetisation is the more effective approach to income generation @fauxtoegrafik #MADM2018</t>
  </si>
  <si>
    <t>#MADM2018 @CriticalSteph don't worry about the technology or the system to begin with... Just brainstorm what you want to do with your digital collections and who is going to use them #digitalpreservation</t>
  </si>
  <si>
    <t>Great photos of what @Tate TiBM collection objects look like on display, but they also look like this #MADM2018 @PFalcaoTate</t>
  </si>
  <si>
    <t>https://pbs.twimg.com/media/DmLEs2UW0AUP480.jpg</t>
  </si>
  <si>
    <t>Digital memory conference at The British Museum. Excellent talk on time based media conservation at Tate #MADM2018</t>
  </si>
  <si>
    <t>https://pbs.twimg.com/media/DmLEmIqWsAAvG1V.jpg</t>
  </si>
  <si>
    <t>#MADM2018 understanding the #digitalpreservation process (high level!) can help you to determine how you can use the available systems</t>
  </si>
  <si>
    <t>We shouldn’t forget that Digital Creation should come BEFORE Preservation, Dissemination and Collaboration, says Tanya Szrajber, Head of Documentation @britishmuseum #MADM2018</t>
  </si>
  <si>
    <t>Very good articulation of why metadata matters from @PFalcaoTate on preserving time based digital art: the artist's hard drive contains what is *essential*, but not what is *sufficient* to preserve that art. #MADM2018</t>
  </si>
  <si>
    <t>The challenges of curating and preserving digitally born art- here's an example of what's submitted by some artists for Preservation to @Tate &amp; it needs a lot of work. #MADM2018</t>
  </si>
  <si>
    <t>https://pbs.twimg.com/media/DmLEWZuXcAAVBdN.jpg</t>
  </si>
  <si>
    <t>#MADM2018 there are many #digitalpreservation systems available, you need to define what you need and understand what they can do to support your aims</t>
  </si>
  <si>
    <t>Pausing my month off social media to follow #MADM2018 ... interesting stuff this morning on WHY?, now into the HOW?</t>
  </si>
  <si>
    <t>#MADM2018 How do you preserve digital art? Learning about @Tate's fascinating work on this area.</t>
  </si>
  <si>
    <t>Interesting point from @fauxtoegrafik - what do we (museums) look like when you take away the bricks and mortar? #MADM2018</t>
  </si>
  <si>
    <t>#MADM2018 In the breakout with @CoSector_UoL and Hull University, where we're thinking about how to define what you need from your digital repository</t>
  </si>
  <si>
    <t>https://pbs.twimg.com/media/DmLD3INXoAAWPHN.jpg</t>
  </si>
  <si>
    <t>And here is the iceberg for those of you who didn't make it to the #MADM2018 second key note talk RT @CoSector_UoL: #MADM2018</t>
  </si>
  <si>
    <t>https://twitter.com/CoSector_UoL/status/1036605617614536704
https://twitter.com/gabbyheffernan/status/1036605358066884612</t>
  </si>
  <si>
    <t>Charging phone so didn't get to tweet second keynote speakers - creating a city of culture digital archive - but it was fantastic. Particularly liked Julie Allison's diagrams and iceberg analogy, so clear #MADM2018</t>
  </si>
  <si>
    <t>Always sadly overexcited when I see Spectrum mentioned in a conference #MADM2018</t>
  </si>
  <si>
    <t>https://pbs.twimg.com/media/DmLDKcLWsAE_fEZ.jpg</t>
  </si>
  <si>
    <t>LIBNOVA</t>
  </si>
  <si>
    <t>Today, we are at The @britishmuseum attending #MADM2018. Come and visit us!  cc @dpc_chat</t>
  </si>
  <si>
    <t>https://goo.gl/zyXHH1</t>
  </si>
  <si>
    <t>https://pbs.twimg.com/media/DmLC3UrW4AES-5q.jpg</t>
  </si>
  <si>
    <t>Miami, Florida, USA</t>
  </si>
  <si>
    <t>Digital Preservation Solutions: LIBSAFE (OAIS archiving software) and LIBDATA (low cost digital preservation storage hardware) #DigitalPreservation</t>
  </si>
  <si>
    <t>http://libnova.com/en/</t>
  </si>
  <si>
    <t>Steph Fuller</t>
  </si>
  <si>
    <t>Lovely to see @AKingLondon today 😀 #MADM2018</t>
  </si>
  <si>
    <t>Lives in Lewes</t>
  </si>
  <si>
    <t>Arts worker, cook, shambolic allotmenteer, earstwhile textile practitioner, deaf, parent. Director @museumartcraft. Board member @Blasttheory + @Dev_Collective</t>
  </si>
  <si>
    <t>So many hard choices in the parallel sessions! Documentation; Conservation; Digitisation and Public Access; Finding Digital Solutions; Digitsl community-led curation... #MADM2018 continues in full force</t>
  </si>
  <si>
    <t>https://pbs.twimg.com/media/DmLC1zqW4AAKzFD.jpg</t>
  </si>
  <si>
    <t>Time for documentation :-) #MADM2018</t>
  </si>
  <si>
    <t>Artist Archivist</t>
  </si>
  <si>
    <t>#MADM2018 if only digital archives were as simple as reading a book. 🙂🙂🙂</t>
  </si>
  <si>
    <t>https://pbs.twimg.com/media/DmLCbt0XcAEjFDC.jpg</t>
  </si>
  <si>
    <t>Uncovering stories from within the archives.</t>
  </si>
  <si>
    <t>http://www.artistarchivist.co.uk</t>
  </si>
  <si>
    <t>Really interesting to see how the plan for a bid changes once you have detailed conversations with the stakeholders and deliver a service that the users want #MADM2018</t>
  </si>
  <si>
    <t>https://pbs.twimg.com/media/DmLBsUBX4AA93nE.jpg</t>
  </si>
  <si>
    <t>Impressive presentation from @julieallinson and @CoSector_UoL on developing a digital archive from scratch for Hull City of Culture #MADM2018</t>
  </si>
  <si>
    <t>Laura now finishing up, looking at why building a system was right for this project, and why #opensource worked for them. #MADM2018</t>
  </si>
  <si>
    <t>If Laura and Julie have caught your interest in building and modifying repositories, come along to our workshop next, where @clawre and I will help non# technical ppl start to think about how to work with a repository. #MADM2018</t>
  </si>
  <si>
    <t>A few of the slides from Ed Lawless's talk about the @britishmuseum learning team &amp; their relationship with #DigitalPreservation you can read about their work here:  #MADM2018</t>
  </si>
  <si>
    <t>http://www.britishmuseum.org/learning/samsung_centre/research.aspx</t>
  </si>
  <si>
    <t>https://pbs.twimg.com/media/DmLAhPXW0AAAnPM.jpg</t>
  </si>
  <si>
    <t>Maria Bojanowska</t>
  </si>
  <si>
    <t>Celebrating #MADM2018 conference with souvenir badge making. Come and find me at the next break in the foyer.</t>
  </si>
  <si>
    <t>https://pbs.twimg.com/media/DmLAsM0XsAADFyd.jpg</t>
  </si>
  <si>
    <t>Lambeth, London</t>
  </si>
  <si>
    <t>Head of National Programmes at the British Museum | Love cities, walking, history, art and film | South Londoner | All tweets are my own</t>
  </si>
  <si>
    <t>Working with existing systems was essential to make the job of the archivists as simple as possible.#MADM2018</t>
  </si>
  <si>
    <t>.@julieallinson @CoSector_UoL on the Hull City of Culture project and the challenges of managing a diverse archive. One of the key things that worked: and then we TALKED... (archivists, developers, creators and curators of digital - humans before tackling the tech) #MADM2018</t>
  </si>
  <si>
    <t>#MADM2018 #digitalpreservation can be complicated! @julieallinson and @CoSector_UoL working to keep it simple for @2017Hull. Smiley faces! 😊😊😊</t>
  </si>
  <si>
    <t>Starting by doing workshops with the archivists helped to identify what we had and what we needed to build. #MADM2018</t>
  </si>
  <si>
    <t>#MADM2018 @julieallinson : our job is to make like easy for the archivist and the end user 😊</t>
  </si>
  <si>
    <t>Julie explaining that yes, we did go there and work with CALM 😏 Our job is making the system easy to use for the archivists. #MADM2018</t>
  </si>
  <si>
    <t>https://pbs.twimg.com/media/DmK_CxsXcAAi73n.jpg</t>
  </si>
  <si>
    <t>Really interesting presentation on creating a City of Culture digital archive for Hull 2017. Started the project before the years events started rather than at the end which made the project easier &amp; more representative view of the year #MADM2018</t>
  </si>
  <si>
    <t>https://pbs.twimg.com/media/DmK-y-dX4AARBIg.jpg</t>
  </si>
  <si>
    <t>#MADM2018 @julieallinson reminds us how important it is to TALK about how you want to use your digital collections! Sounds a bit like @GlennCumiskey 's point about knowing your user community...</t>
  </si>
  <si>
    <t>#MADM2018 Love how the looked at all angles on pen and paper to preserve Hull City of Culture before they went for flow charts</t>
  </si>
  <si>
    <t>Now @julieallinson is speaking about working on the technical side of the project. It isn't just the technology we brought, it's the experience of repositories and related sectors. Together with @cottagelabs we brought over 50 years of combined experience (eek!) #MADM2018</t>
  </si>
  <si>
    <t>Roll up, roll up, get your #dpc stickers to take home/back to the office after #MADM2018 #digitalpreservation #merch #museums @dpc_chat @britishmuseum RT @FagAshLilith: Having gone blind on writing GDPR stuff these past few months, I HAD to grab a sheet of these useful stickers at #MADM2018 over lunch 😂</t>
  </si>
  <si>
    <t>https://twitter.com/FagAshLilith/status/1036590291762012160</t>
  </si>
  <si>
    <t>https://pbs.twimg.com/media/DmK1W8LXcAAf3wN.jpg</t>
  </si>
  <si>
    <t>#MADM2018 I adore the speaker saying ‘in short’ then showing this slide</t>
  </si>
  <si>
    <t>https://pbs.twimg.com/media/DmK-YNyX4AAoi1X.jpg</t>
  </si>
  <si>
    <t>10/10 colour combination here #MADM2018 RT @arranjrees: Proudly wearing my decorated #MADM2018 badge 🤓</t>
  </si>
  <si>
    <t>https://twitter.com/arranjrees/status/1036596911988506627</t>
  </si>
  <si>
    <t>https://pbs.twimg.com/media/DmK7YxIXoAAVsPK.jpg</t>
  </si>
  <si>
    <t>Seeing the span of the content is humbling, even when you have been working on the project. Laura is describing the journey of the archivists, their vision and their practical skills. #MADM2018</t>
  </si>
  <si>
    <t>This warms the cockles of my art-nerd museum-geek heart 😍 #MADM2018 #digitalpreservation #CraftHour RT @eloisarod: Badge making at #MADM2018 with @cewillett1 #museumgeeks #digitalinmuseums</t>
  </si>
  <si>
    <t>#MADM2018 Culture company helped paid towards the archives to capture the journey.</t>
  </si>
  <si>
    <t>#MADM2018 privilege of impromptu meeting with two icons of #digitalpreservation - @mcojo and the Rosetta Stone.</t>
  </si>
  <si>
    <t>Getting nostalgic at talk on #Hull #CityOfCulture - great to hear about digital preservation work alongside the spectacle! #MADM2018</t>
  </si>
  <si>
    <t>https://pbs.twimg.com/media/DmK9Q76WwAAt4nB.jpg</t>
  </si>
  <si>
    <t>Kicking off the afternoon @britishmuseum #MADM2018 we have some stages along Hull's journey to City of Culture 2017 from Laura Giles and Julie Allinson. How do you capture and preserve the story of a city "coming out of the shadows?" #digitalpreservation</t>
  </si>
  <si>
    <t>https://pbs.twimg.com/media/DmK9JqvX4AATQ5k.jpg</t>
  </si>
  <si>
    <t>Laura approaches the project by explaining about the importance of the City of Culture status for Hull ad a starting point. As the tech partners, for us this project is all about supporting the archivists who support the content. #MADM2018</t>
  </si>
  <si>
    <t>Paul Stewart</t>
  </si>
  <si>
    <t>What does a city of culture digital @britishmuseum #MADM2018 archive look like with @UniOfHull an interesting idea of how to prepare to collect intangible memories @CreativeFuseNE @mimauseful @MbroCouncil @Creativefactory</t>
  </si>
  <si>
    <t>Artist, Writer and curator http://alternativeartcollege.co.uk</t>
  </si>
  <si>
    <t>http://paulstewart.org.uk</t>
  </si>
  <si>
    <t>#MADM2018 noting that Hull and Cumbernauld listed on the ten worst towns in the UK. But St Andrews and Winchester on the same list...</t>
  </si>
  <si>
    <t>#MADM2018 hearing the story of @2017Hull with Laura Giles and @julieallinson</t>
  </si>
  <si>
    <t>https://pbs.twimg.com/media/DmK8c3GXoAEZAOI.jpg</t>
  </si>
  <si>
    <t>#MADM2018 Grassroots efforts were already in place before their bid. They just needed to find their feet.</t>
  </si>
  <si>
    <t>https://pbs.twimg.com/media/DmK8SWuW0AAo0N0.jpg</t>
  </si>
  <si>
    <t>#MADM2018 Creating a Culture City: Hull Pre2017 worst placed for economic woes</t>
  </si>
  <si>
    <t>https://pbs.twimg.com/media/DmK77e7W4AAfruU.jpg</t>
  </si>
  <si>
    <t>Packed house for the talk about our project. Laura up first, talking about the project from the perspective of a digital archivist #MADM2018</t>
  </si>
  <si>
    <t>https://pbs.twimg.com/media/DmK7uGNXoAAql1M.jpg</t>
  </si>
  <si>
    <t>https://pbs.twimg.com/media/DmK7uGJXsAAYMtV.jpg</t>
  </si>
  <si>
    <t>Badge making at #MADM2018 with @cewillett1 #museumgeeks #digitalinmuseums</t>
  </si>
  <si>
    <t>#MADM2018 this afternoon we're thinking about the 'how' of using digital content in the museums sector</t>
  </si>
  <si>
    <t>Proudly wearing my decorated #MADM2018 badge 🤓</t>
  </si>
  <si>
    <t>Getting ready for the afternoon keynote from @julieallinson and Laura Giles, talking about our project to build a digital archive for Hull City of Culture content #MADM2018</t>
  </si>
  <si>
    <t>This quote from @NicolePMeehan 's presentation really struck me. How do people's perceptions of 'aura' transfer when objects are digitised? I like Nicole's view that their digital nature allows a plurality of interpretations or "polyvocality" #MADM2018</t>
  </si>
  <si>
    <t>https://pbs.twimg.com/media/DmK6uSxXgAEHzfL.jpg</t>
  </si>
  <si>
    <t>Triona WhiteHamilton</t>
  </si>
  <si>
    <t>Digital preservation and buddism who would have thought of linking both together. Enjoying #MADM2018 @britishmuseum</t>
  </si>
  <si>
    <t>https://pbs.twimg.com/media/DmK5XGCX0AIgyC-.jpg</t>
  </si>
  <si>
    <t>Love museums and all things creative</t>
  </si>
  <si>
    <t>Rebecca Odell</t>
  </si>
  <si>
    <t>Colleague just snapped me at a digital memory conference, enjoying my museum's digitised content, on one of our digital platforms. #MADM2018</t>
  </si>
  <si>
    <t>https://pbs.twimg.com/media/DmK3-UTWwAAvQwb.jpg</t>
  </si>
  <si>
    <t>Acting Museum Manager @Hackneymuseum, recovering archaeologist, person. Currently researching the life of Olive Christian Malvery http://olivemalvery.com</t>
  </si>
  <si>
    <t>I'm that awkward person at #MADM2018 being unsocialable trying to catch up with @CultureThemes @AskACurator and the #MusMeme stuff</t>
  </si>
  <si>
    <t>pic.twitter.com/aO435rOkJW</t>
  </si>
  <si>
    <t>Recommend attendees of #MADM2018 to pop upstairs to fab free small exhibition 'What is Europe: Views from Asia.' From the 'Mocking Europe' section - 1943 satirical cartoon of Winston Churchill.</t>
  </si>
  <si>
    <t>https://pbs.twimg.com/media/DmK3JFqX4AACQXr.jpg</t>
  </si>
  <si>
    <t>Mike Jones</t>
  </si>
  <si>
    <t>Wishing I was at #MADM2018. Thanks all for the tweets!</t>
  </si>
  <si>
    <t>Wurundjeri land</t>
  </si>
  <si>
    <t>Archives, collections, museums, DH, history, art. Currently working on becoming a Dr. Compulsive reader and music listener. Queer. He/him/his.</t>
  </si>
  <si>
    <t>http://www.mikejonesonline.com/</t>
  </si>
  <si>
    <t>Having gone blind on writing GDPR stuff these past few months, I HAD to grab a sheet of these useful stickers at #MADM2018 over lunch 😂</t>
  </si>
  <si>
    <t>Finally at #MADM2018 Museums and digital memory conference at @britishmuseum</t>
  </si>
  <si>
    <t>https://pbs.twimg.com/media/DmK0j9lXoAAcQQU.jpg</t>
  </si>
  <si>
    <t>Melinda Haunton</t>
  </si>
  <si>
    <t>Thanks to tweeters at #madm2018 - I am conferenced out for the moment but very valuable to see museums wrestling with issues of preservation and digital transformation. Affects all memory institutions and I hope we can bring useful insights from different domains.</t>
  </si>
  <si>
    <t>archivist-historian-archivesaccreditn advocate-commuter rager-art and language lover-random cook-anxious yogi-ghastly traveller. Views my own. Like =/= Love</t>
  </si>
  <si>
    <t>#MADM2018 at the British Museum this morning has been eye opening and enlightening stuff. Lots of ideas and ways to think about memory and digital preservation planning.</t>
  </si>
  <si>
    <t>Thank you @britishmuseum for bringing us the super interesting #MADM2018 and probably the best sandwiches in the world 💻💽💾🥪🌮🌯</t>
  </si>
  <si>
    <t>https://pbs.twimg.com/media/DmKvUZOWsAEOJNB.jpg</t>
  </si>
  <si>
    <t>ArtsTech Asia</t>
  </si>
  <si>
    <t>MuseumNext Tech takes place in Amsterdam next month -  #MADM2018</t>
  </si>
  <si>
    <t>http://www.museumnexr.com</t>
  </si>
  <si>
    <t>https://pbs.twimg.com/media/DmKu3M2WsAEfuSo.jpg</t>
  </si>
  <si>
    <t>Singapore</t>
  </si>
  <si>
    <t>ArtsTech brings together leading cultural organisations from around the world to talk about adapting to the rapidly changing digital landscape #artstech</t>
  </si>
  <si>
    <t>Paula Keogh</t>
  </si>
  <si>
    <t>No one has destroyed the retro sweets display yet ... come on, you know you want to 😄 #MADM2018</t>
  </si>
  <si>
    <t>https://pbs.twimg.com/media/DmKu0McW0AEC2Al.jpg</t>
  </si>
  <si>
    <t>Solihull, UK</t>
  </si>
  <si>
    <t>VP Heritage &amp; HE at Arkivum #digitalpreservation #heritage #digitalarchiving #archiving #pharma #RDM #collections #museums #libraries #dataintegrity #GxP</t>
  </si>
  <si>
    <t>http://www.arkivum.com</t>
  </si>
  <si>
    <t>The role of the digital team' breakout group at #madm2018 discusses the desire for organisations to have a holstic team structure rather than a single digital department. Feel we are well on the way at @TullieHouse for this!</t>
  </si>
  <si>
    <t>https://pbs.twimg.com/media/DmKttv5WsAAOncL.jpg</t>
  </si>
  <si>
    <t>Peak emotion after morning introduction to digital preservations models with @dpc_chat ... #MADM2018 #Digital #SoMuchToLearn</t>
  </si>
  <si>
    <t>pic.twitter.com/hF4kSWnE1Z</t>
  </si>
  <si>
    <t>Gillian Boll</t>
  </si>
  <si>
    <t>FAO folks of #MADM2018 #ARA2018 @dpc_chat RT @UoB_Theatre_Col: Fancy working with us? The University of Bristol is looking for a Digital Archivist to implement and manage a Digital Archival Management System. Closing date 6th Sep.  #jobs #archivejobs</t>
  </si>
  <si>
    <t>https://twitter.com/UoB_Theatre_Col/status/1036579066164535296
https://www.bristol.ac.uk/jobs/find/details.html?nPostingID=20094&amp;nPostingTargetID=78455&amp;option=28&amp;sort=DESC&amp;respnr=1&amp;ID=Q50FK026203F3VBQBV7V77V83&amp;keywords=archivist&amp;Resultsperpage=10&amp;lg=UK&amp;mask=uobext</t>
  </si>
  <si>
    <t>Globo-Scot in Bristol, England</t>
  </si>
  <si>
    <t>Jumped up pantry-girl, archival fixer-upper at @UoB_Theatre_Col and oldest New Professional at #ARA2018. All views yadda yadda yadda...</t>
  </si>
  <si>
    <t>HeritageMadeDigital</t>
  </si>
  <si>
    <t>From our colleague Jess on the ground at #MADM2018 Important addition to a pithy &amp; oft-repeated phrase: 'Digitisation is not digital preservation...Digitisation creates a requirement for digital preservation.' @WilliamKilbride</t>
  </si>
  <si>
    <t>https://pbs.twimg.com/media/DmKsYIYXgAA6rbE.jpg</t>
  </si>
  <si>
    <t>#HeritageMadeDigital is the British Library's initiative to make its unique, rare or fragile heritage collections freely available online - all in #IIIF</t>
  </si>
  <si>
    <t>Does the sector need a digital maturity model? Not something that compares instiutions but allows institutions to be inward looking #MADM2018 #museums #digital</t>
  </si>
  <si>
    <t>https://pbs.twimg.com/media/DmKrpuPW4AAr0jB.jpg</t>
  </si>
  <si>
    <t>Loving that Tyne and Wear have found such a wide range of usage of their content. #MADM2018</t>
  </si>
  <si>
    <t>Born-digital objects. Physical objects that become digital. Digital objects that become physical. Lots to unpack in breakout session 1 of #MADM2018. Speakers: @NicolePMeehan, @sarahyounas, and @ctjball with @GlennCumiskey and @PFalcaoTate</t>
  </si>
  <si>
    <t>It's breakout sessions now #MADM2018 - Nicole Meehan @univofstandrews explains how a digital user can feel more empowered and create their own journey of understanding around an object. The object becomes polyvocal, removing the one voice of authority from the institution 1/2</t>
  </si>
  <si>
    <t>Brilliant to hear @CuratorGeoff talking about the importance of collecting the context of the platform or environment of born digital photography storage and use! #MADM2018</t>
  </si>
  <si>
    <t>Fancy a bit of analogue crafts activity at lunchtime at #MADM2018 today? Come make a conference badge with @mbojanowska at the registration desk! #digitalpreservation #CraftHour #museums</t>
  </si>
  <si>
    <t>https://pbs.twimg.com/media/DmKpVc9XoAA0fZT.jpg</t>
  </si>
  <si>
    <t>The questions memory institutions should ask if they are considering preserving social media content according to H. Hou #MADM2018</t>
  </si>
  <si>
    <t>https://pbs.twimg.com/media/DmKolizW0AAJ0_J.jpg</t>
  </si>
  <si>
    <t>Love the contrast between @RMGreenwich experience with re-think, all about visitors being unpredictable, and @holly_hou's identification of visual style patterns of repetitive visitor response #MADM2018</t>
  </si>
  <si>
    <t>Each individual organisation must define what they want photography to do in the first place - physical and digital.' @CuratorGeoff #MADM2018</t>
  </si>
  <si>
    <t>*General Warning* - sites like Flickr will not keep your content safe. They're designed for sharing, not backing up and definitely not digital preservation. Keep content somewhere I'm house' even if you aren't yet doing preservation. Only put copies on social media. #MADM2018</t>
  </si>
  <si>
    <t>Challenges of providing collections access thru digital -experience from old projects: digi obsolescence &amp;lack of metadata standards had devastating effect on access. Need to learn from our mistakes; be sustainable &amp;amp;gd digi preservation strategies @ctjball @TWAMmuseums #MADM2018</t>
  </si>
  <si>
    <t>https://pbs.twimg.com/media/DmKoYWYXgAIrSjj.jpg</t>
  </si>
  <si>
    <t>K Hufflepuff-Pisces</t>
  </si>
  <si>
    <t>Would you believe, they put a man on the moon...and wiped the footage of it... Best/scariest thing I've learnt so far at #MADM2018 @britishmuseum... #NASA #MaybeItTookUpTooMuchSpace</t>
  </si>
  <si>
    <t>https://pbs.twimg.com/media/DmKoAY5W4AASxC2.jpg</t>
  </si>
  <si>
    <t>Museum curator &amp; history geek with diverse interests in fashion, music, culture, celebrity gossip &amp; global politics. Except not the last one... #PiscesChill</t>
  </si>
  <si>
    <t>Interesting to see how Holly's research at the Horniman ok networked user images reflects the tiny bit of research I did at the British museum a few years back, great that there's more research looking at this #MADM2018</t>
  </si>
  <si>
    <t>https://pbs.twimg.com/media/DmKoBfbXsAEhrcx.jpg</t>
  </si>
  <si>
    <t>Staff and members of the #dpc around the world horrified and saddened to hear news from @MuseuNacional today and offering solidarity and support in the challenges to come. cc #madm2018</t>
  </si>
  <si>
    <t>Carolyn telling a fascinating story of a (very old) mystery solved via sharing on social media. #MADM2018</t>
  </si>
  <si>
    <t>Photographs are a tool and a topic... it's not always about what is defined in the photo, but how it was used.' Learning a lot about collecting and curating photography and its multi-materiality from @CuratorGeoff #MADM2018</t>
  </si>
  <si>
    <t>Now Carolyn Ball, second speaker from Tyne and Wear. fascinating speaker with an archives background now working in museums. #MADM2018</t>
  </si>
  <si>
    <t>AVCF</t>
  </si>
  <si>
    <t>Glenn Cumiskey, @britishmuseum digital preservation resource manager gives us an insightful introduction. Hope to persuade Glenn to talk to @AVCulturalForum soon. #MADM2018 @avtweeps @AVTechEurope @AdmHrv @Tate @ual_marcus @Kingsplaceevent @Kev_McLoughlin</t>
  </si>
  <si>
    <t>https://pbs.twimg.com/media/DmKmthcXcAAvBQa.jpg</t>
  </si>
  <si>
    <t>The AV Cultural Forum is an informal gathering of like minded AV Managers and Senior Technicians seeking to discuss their experiences and to exchange ideas.</t>
  </si>
  <si>
    <t>http://avcf.co.uk</t>
  </si>
  <si>
    <t>H.Hou discusses how museums engage with their audiences through networked images #MADM2018</t>
  </si>
  <si>
    <t>We need to be truly generous with our collections ... and we don’t always get this right @sarahyounas from @TWAMmuseums #MADM2018</t>
  </si>
  <si>
    <t>https://pbs.twimg.com/media/DmKl-iNXoAAVoql.jpg</t>
  </si>
  <si>
    <t>AberdeenArtMuseums</t>
  </si>
  <si>
    <t>Seems like everything is going digital these days, including art! Thanks to the support of the Vivmar Foundation our Documentation Officer is attending #MADM2018 @britishmuseum to explore how best to create, curate and preserve digital content! 'Le Fabuleux Destin', Conor Gault</t>
  </si>
  <si>
    <t>https://pbs.twimg.com/media/DmKl1FFXcAAQsHI.jpg</t>
  </si>
  <si>
    <t>Aberdeen, Scotland</t>
  </si>
  <si>
    <t>The City of Aberdeen's Galleries and Museums.</t>
  </si>
  <si>
    <t>http://aagm.co.uk</t>
  </si>
  <si>
    <t>At #madm2018 digital memory, which I hope will be better than my memory</t>
  </si>
  <si>
    <t>Daffydd exploring the digital skills gap in the museums sector and how to full them. #MADM2018 sounds like a job also for DigCurVE and @SharonMcMeekin</t>
  </si>
  <si>
    <t>Come and see us at the @Arkivum stand at #MADM2018 today. Break out sessions for the West Foyer are all hosted here. Busy session in this slot!</t>
  </si>
  <si>
    <t>https://pbs.twimg.com/media/DmKlX0hW0AANqd4.jpg</t>
  </si>
  <si>
    <t>Also lovely examples of finding out how audiences interact with digital objects from Sarah Younas of Tyne and Wear archives and museums #MADM2018</t>
  </si>
  <si>
    <t>Dafydd James from @AmgueddfaCymru looking at the variety of ways digital teams in cultural institutions operate #MADM2018</t>
  </si>
  <si>
    <t>https://pbs.twimg.com/media/DmKk4ahWsAA0Y1c.jpg</t>
  </si>
  <si>
    <t>What is a digital maturity model? .... #MADM2018 It currently is very commercially focused ... @DafJames @katiprice paper explored what this might look like for museums</t>
  </si>
  <si>
    <t>https://mw18.mwconf.org/paper/structuring-for-digital-success-a-global-survey-of-how-museums-and-other-cultural-organisations-resource-fund-and-structure-their-digital-teams-and-activity/</t>
  </si>
  <si>
    <t>https://pbs.twimg.com/media/DmKks0GWsAUzpN7.jpg</t>
  </si>
  <si>
    <t>Daffydd asking if there's appetite for a digital maturity model for museums #MADM2018 Big Yes! from me with connections to #ndsa levels of digital preservation and in line with Archive Service Accreditation</t>
  </si>
  <si>
    <t>Loving the idea of digital being experimental from this speaker. Doing the things you might not dare to do with physical objects! #MADM2018</t>
  </si>
  <si>
    <t>"our biggest issue is that people are wholly unpredictable" from Ben at Royal Museums Greenwich. Love it. #MADM2018</t>
  </si>
  <si>
    <t>From @NicolePMeehan: Does the aura of the digital object and physical object need to be the same? The aura of the digital object is different, not absent. Example of 3D printed woolly mammoth  #MADM2018</t>
  </si>
  <si>
    <t>https://dpo.si.edu/blog/articulated-woolly-mammoth-manga</t>
  </si>
  <si>
    <t>https://pbs.twimg.com/media/DmKj3M0WwAEsUQC.jpg</t>
  </si>
  <si>
    <t>Aura of the digital objects themselves. Ability of digital to preserve the networks of interactions and values around cultural objects from multiple perspectives and cross borders @NicolePMeehan #MADM2018</t>
  </si>
  <si>
    <t>https://pbs.twimg.com/media/DmKjxg1XcAAU51i.jpg</t>
  </si>
  <si>
    <t>#MADM2018 Lamb Cam @StFagans_Museum 🐏🐏 yes! @DafJames love this idea 🐑🐑 RT @ceririse: @CadoxtonPS #Thaw Jasmine watching St Fagans lamb cam after today's visit #BSW18</t>
  </si>
  <si>
    <t>https://twitter.com/ceririse/status/973634633710661632</t>
  </si>
  <si>
    <t>https://pbs.twimg.com/media/DYMLh3DW4AUDWQZ.jpg</t>
  </si>
  <si>
    <t>The lovely @trudie78 and Holly Crossen-White leading their packed session on digitisation and public access #MADM2018 @britishmuseum</t>
  </si>
  <si>
    <t>https://pbs.twimg.com/media/DmKjUOgXgAAbubF.jpg</t>
  </si>
  <si>
    <t>#MADM2018 I've snuck in the back of a breakout on public accessibility and engagement! Hearing how #digitization aids public accessibility.... Hoping to hear that #digitalpreservation is part of the plan 😀</t>
  </si>
  <si>
    <t>https://pbs.twimg.com/media/DmKjCO0X4AMjBud.jpg</t>
  </si>
  <si>
    <t>Nicole Meehan sneaking some silent references to Walter Benjamin into her talk #MADM2018</t>
  </si>
  <si>
    <t>Great to see @DafJames from @AmgueddfaCymru talking about the role of the digital team in creating and facilitating the creation of digital content #MADM2018</t>
  </si>
  <si>
    <t>Steen Dupont</t>
  </si>
  <si>
    <t>Starting with some critical statements today at: Museums and Digital memory conference #MADM2018</t>
  </si>
  <si>
    <t>https://pbs.twimg.com/media/DmKisgrXgAAteAF.jpg</t>
  </si>
  <si>
    <t>Museums have a mandate to preserve significant digital material - but at the same time as their normal work, and for no extra funding.. @simontanner highlighting the #digitalpreservation challenges the sector faces #MADM2018</t>
  </si>
  <si>
    <t>Listening about the 'Re-Think Digital' project by the Royal Museums Greenwich and their work on capturing, storing and sharing visitor generated data #MADM2018</t>
  </si>
  <si>
    <t>Fantastic turn out @britishmuseum for today's #MADM2018 conference on museums and digital memory</t>
  </si>
  <si>
    <t>https://pbs.twimg.com/media/DmKhWzAX0AAh4Vr.jpg</t>
  </si>
  <si>
    <t>Research on museum digital strategies , incl @smithsonian by @NicolePMeehan Many museum professionals working in this area increasingly don’t distinguish between value of digital and physical object (though some continue to find digital inferior) #MADM2018</t>
  </si>
  <si>
    <t>How to create engaging cultural content ? V/@DafJames #MADM2018 #museums #mbadmb</t>
  </si>
  <si>
    <t>https://pbs.twimg.com/media/DmKiKO_XoAEb2lA.jpg</t>
  </si>
  <si>
    <t>#MADM2018 @DafJames doing a plug for @ukmcg conference 🙌. ... Book often and book early (I event managed this conference for a few years, great to see it continue to develop).</t>
  </si>
  <si>
    <t>https://pbs.twimg.com/media/DmKh7piXsAApBr3.jpg</t>
  </si>
  <si>
    <t>Each museum digital object is viewed in unique ways as the museum intended but is continuously more user directed @NicolePMeehan #MADM2018</t>
  </si>
  <si>
    <t>Lisa Marie Griffith</t>
  </si>
  <si>
    <t>Have split up from @natalieharrower so we can cover more ground at #MADM2018 for @dri_ireland I've arrived at 'the role of digital in museums' panel</t>
  </si>
  <si>
    <t>https://pbs.twimg.com/media/DmKg-OWWsAAXBmX.jpg</t>
  </si>
  <si>
    <t>Author of Stones of Dublin: A history of Dublin in Ten Buildings, co-editor of Grave Matter: Death and Dying in Dublin 1500-The Present</t>
  </si>
  <si>
    <t>https://stonesofdublin.wordpress.com</t>
  </si>
  <si>
    <t>Imogen Lloyd</t>
  </si>
  <si>
    <t>Time to re-think digital! #MADM2018 @britishmuseum</t>
  </si>
  <si>
    <t>https://pbs.twimg.com/media/DmKg5pHX0AADYVU.jpg</t>
  </si>
  <si>
    <t>England, United Kingdom</t>
  </si>
  <si>
    <t>🏺🍕🍶🎮🎲👌 Views my own 🎺 Digital Marketing Officer @The_Herbert | @CovTM</t>
  </si>
  <si>
    <t>From Nicole Meehan's talk: there's no agreement on what constitutes a digital museum object #MADM2018</t>
  </si>
  <si>
    <t>Our Lead Developer @julieallinson and Laura Giles, City of Culture Digital Archivist will be providing a 30 minute HOW Session Keynote on creating a digital archive from the beginning at 13:45. #MADM2018</t>
  </si>
  <si>
    <t>Ranking values from 1 to 5 always come up with different priorities depending which team in your organisation you ask but it is a good way to start a conversation #MADM2018</t>
  </si>
  <si>
    <t>https://pbs.twimg.com/media/DmKgozsXcAA2-tM.jpg</t>
  </si>
  <si>
    <t>Being a discontinuity between the time of data preservation and their funding (usually no more than a 3-year budget), it’s getting more and more important to have a balanced strategy with values v/@SimonTanner #MADM2018 #museums #mbadmb</t>
  </si>
  <si>
    <t>https://pbs.twimg.com/media/DmKfocEWsAAcmrt.jpg</t>
  </si>
  <si>
    <t>Amy Adams</t>
  </si>
  <si>
    <t>Can't wait to try applying these to some of our outputs @NatMuseumRN #foodforthought #MADM2018 @SimonTanner</t>
  </si>
  <si>
    <t>https://pbs.twimg.com/media/DmKfRtOW0AAJbzs.jpg</t>
  </si>
  <si>
    <t>Expat Canadian museum professional living life on the other side of the pond.</t>
  </si>
  <si>
    <t>Hey museums #madm2018 is a 2 way conversation. IMHO #Digitalpreservation needs to learn from you about ethics and decolonization so we can apply to digital memory. Some initial thoughts on the #dpc blog here:</t>
  </si>
  <si>
    <t>https://www.dpconline.org/blog/on-hearing-the-learned-astronomer</t>
  </si>
  <si>
    <t>Always important to emphasise outside our sector &amp; sometimes internally that "values are more than money" #MADM2018</t>
  </si>
  <si>
    <t>https://pbs.twimg.com/media/DmKd8yEXoAMQvFl.jpg</t>
  </si>
  <si>
    <t>Modes of digital value @SimonTanner #MADM2018</t>
  </si>
  <si>
    <t>https://pbs.twimg.com/media/DmKd5imWsAA4POC.jpg</t>
  </si>
  <si>
    <t>Sarah Saunders, Head of Learning and National Partnerships @britishmuseum introduces what will be a very interesting conference on Museums and digital memory #MADM2018 #AVTweeps</t>
  </si>
  <si>
    <t>https://pbs.twimg.com/media/DmKd3MOXcAA1sTr.jpg</t>
  </si>
  <si>
    <t>#dpc will be repeating the Digital Preservation Awards again this year to celebrate the achievements of this dynamic and creative community - More here:  #dpa2018 #MADM2018</t>
  </si>
  <si>
    <t>https://www.dpconline.org/events/digital-preservation-awards</t>
  </si>
  <si>
    <t>Digitisation is not digital preservation - a key mantra to remember from @WilliamKilbride #dps #MADM2018</t>
  </si>
  <si>
    <t>Eleanor Clarke</t>
  </si>
  <si>
    <t>How do we make short term funding for digital curation stretch for infinate use and future value? #madm2018</t>
  </si>
  <si>
    <t>South West, England</t>
  </si>
  <si>
    <t>Digital Engagement CoOrdinator at Telegraph Museum Porthcurno. Manager of SilverTree preventive care and digitisation of photographic material</t>
  </si>
  <si>
    <t>Five modes of digital value @SimonTanner says: Utility, Education, Community, Inheritance / Legacy &amp; Existence / Prestige #MADM2018</t>
  </si>
  <si>
    <t>Enjoying the very thoughtful reflections on considerations in #digitalpreservation by @SimonTanner at #MADM2018 Especially his ability to sort through the hermeneutics of 'value' in tangible and accessible ways.</t>
  </si>
  <si>
    <t>#MADM2018 @SimonTanner : modes of digital value which might be applied to digital collections = utility, education, community, inheritance/legacy, existence /prestige</t>
  </si>
  <si>
    <t>Thought provoking keynote from @Simontanner. Need to avoid the potential trap of digitising material without considering the values embodied in it. What story are we telling? #MADM2018</t>
  </si>
  <si>
    <t>.@SimonTanner talks about Values, individual and shared, and how they are shaped in the digital environment, borrowing from Roger Smith and @RSMuseumStudies #MADM2018</t>
  </si>
  <si>
    <t>https://pbs.twimg.com/media/DmKcoM9XoAEnwqi.jpg</t>
  </si>
  <si>
    <t>Brief mention this morning at #MADM2018 of the #dpc #bitlist of Digitally Endangered Species. There's more here:</t>
  </si>
  <si>
    <t>https://www.dpconline.org/our-work/bit-list</t>
  </si>
  <si>
    <t>Absolutely, particularly this second quote from @RSMuseumStudies. #MADM2018 keynote from @SimonTanner is really making us think about the fluid, individualised yet aggregated idea of the value of digital collections.</t>
  </si>
  <si>
    <t>https://pbs.twimg.com/media/DmKcmS_WwAAtXwT.jpg</t>
  </si>
  <si>
    <t>#MADM2018 @SimonTanner : values are more than money. The price and the value are different things...</t>
  </si>
  <si>
    <t>.@SimonTanner on bringing responsibility to the work of mass-digitizing / making available "C18th material by mostly dead white European males" 🙂 #MADM2018</t>
  </si>
  <si>
    <t>https://pbs.twimg.com/media/DmKcJx4XsAAKR6U.jpg</t>
  </si>
  <si>
    <t>Keith May</t>
  </si>
  <si>
    <t>Lifecycles of digital data? Is preservation for perpetuity? Is all/any/a priori knowledge everlasting or does it evolve over time? #MADM2018</t>
  </si>
  <si>
    <t>I'm an archaeologist with interests in heritage based digital information recording, analysis and dissemination.</t>
  </si>
  <si>
    <t>Couldn't get a ticket to #MADM2018? Our first keynote @SimonTanner has published his presentation here #digitalpreservation #museums RT @SimonTanner: Keynote: Proposing the modes of digital value for a memory institution  #MADM2018</t>
  </si>
  <si>
    <t>https://twitter.com/SimonTanner/status/1036559426872721408
https://simon-tanner.blogspot.com/2018/09/MADM2018.html</t>
  </si>
  <si>
    <t>https://pbs.twimg.com/media/DmIBVDKW4AE9TMo.jpg</t>
  </si>
  <si>
    <t>This is true, though also the case of physical collections storage. The issue with digital is that it's far more fragile than virtually all objects and archives. Therefore even briefest underinvestment in digital preservation risks total loss rather than deterioration. #MADM2018 RT @ellie__miles: Simon Tanner raising the issue that we are often asked to preserve something in perpetuity on a 3 year finding cycle. YEP #MADM2018</t>
  </si>
  <si>
    <t>https://twitter.com/ellie__miles/status/1036561396719386625</t>
  </si>
  <si>
    <t>Digital museums aren't neutral - @SimonTanner points out that uncritical mass digitisation of older collections reiterates and reinforces colonial and other problematic structures of value. #MADM2018</t>
  </si>
  <si>
    <t>Muriel Bailly</t>
  </si>
  <si>
    <t>The pb of funding in #digitalpreservation: we're asked to preserve things for perpetuity on a 3-year funding cycle. #MADM2018 @SimonTanner</t>
  </si>
  <si>
    <t>Bookworm and museum enthusiast- Assistant Curator of Medicine @sciencemuseum views my own</t>
  </si>
  <si>
    <t>#MADM2018 @SimonTanner : value is individually understood and attributed, BUT collectively shared and thus magnified.</t>
  </si>
  <si>
    <t>One foot in the past, one foot in the future! We need to tackle both sides, often on a short term funding cycle but resulting in preservation for perpetuity! #stuckinnthemiddlewithyou #perpetualpreservation #MADM2018</t>
  </si>
  <si>
    <t>https://pbs.twimg.com/media/DmKbi1YX4AENINo.jpg</t>
  </si>
  <si>
    <t>Cambridge Herbarium</t>
  </si>
  <si>
    <t>THIS: 'The problem of preservation in perpetuity... on a three year funding cycle' @SimonTanner @KingsCollegeLon @DigiCultureKCL #MADM2018 @britishmuseum</t>
  </si>
  <si>
    <t>https://pbs.twimg.com/media/DmKbfF8XsAEmrsw.jpg</t>
  </si>
  <si>
    <t>Cambridge, England</t>
  </si>
  <si>
    <t>Home of Darwin's plant specimens from The Voyage of the Beagle, and much more... watch this space! Tweets by the Curator @IbuAnggrek</t>
  </si>
  <si>
    <t>http://data.plantsci.cam.ac.uk/herbarium/</t>
  </si>
  <si>
    <t>#MADM2018 @SimonTanner : quoting Richard Sandwell "museums have the power to privelidge particular forms of knowledge and to naturalised highly particularised sets of values"</t>
  </si>
  <si>
    <t>Don't worry if you can't attend #MADM2018 @SimonTanner talk will be recorded &amp; will be available soon.</t>
  </si>
  <si>
    <t>https://pbs.twimg.com/media/DmKa0UEXgAAU04e.jpg</t>
  </si>
  <si>
    <t>Giving an example, @SimonTanner says: issue is that we're asked to preserve things in perpetuity on a 3 year funding cycle. Ya, short cycles and project funding are very very difficult for LTP #MADM2018</t>
  </si>
  <si>
    <t>Simon Tanner raising the issue that we are often asked to preserve something in perpetuity on a 3 year finding cycle. YEP #MADM2018</t>
  </si>
  <si>
    <t>#MADM2018 @SimonTanner : perpetuity is a very long time!</t>
  </si>
  <si>
    <t>Morning! - if you're interested in museums + digital you should follow #MADM2018 - @SimonTanner is currently speaking 👉</t>
  </si>
  <si>
    <t>https://pbs.twimg.com/media/DmKazW9XcAADSxu.jpg</t>
  </si>
  <si>
    <t>#MADM2018 @SimonTanner : the unfunded mandate - we're always looking towards an unpredictable future, whilst making available resources from the past. This will always remain the same, and we're expected to do this with the same or no more funding.</t>
  </si>
  <si>
    <t>Paul Power</t>
  </si>
  <si>
    <t>A hashtag worth following today considering the recent fire at the National Museum in Brazil #MADM2018</t>
  </si>
  <si>
    <t>Dublin City, Ireland</t>
  </si>
  <si>
    <t>Dad, husband and builder of Data Wrangling and Preparation Tools. @workday by day - @peerside by night. Views are my own.</t>
  </si>
  <si>
    <t>https://ie.linkedin.com/in/paulpower</t>
  </si>
  <si>
    <t>The unfunded mandate #MADM2018 how do we look back and care for the past yet also anticipate the future?</t>
  </si>
  <si>
    <t>https://pbs.twimg.com/media/DmKafLyWsAAQuSu.jpg</t>
  </si>
  <si>
    <t>louise lawson</t>
  </si>
  <si>
    <t>Are you the grape? The wine? The glass? Or do you enjoy drinking? Great analogy for your digital preservation focus @SimonTanner #MADM2018</t>
  </si>
  <si>
    <t>Conservation Manager, Time-based Media. Views expressed are my own.</t>
  </si>
  <si>
    <t>Simon Tanner (keynote #MADM2018) using 'memory institutions' instead of GLAMs to emphasise collective shift towards digital.</t>
  </si>
  <si>
    <t>To the people involved in digital preservation: "we're not particularly appreciated - but what you do matters" @SimonTanner #MADM2018</t>
  </si>
  <si>
    <t>Thanks @GlennCumiskey for a great #MADM2018 intro and call to arms! 'Museums' ability to create data has surpassed the ability to manage that data' and we need to ensure its preservation becomes 'part of business as usual' - and learn from those doing it well @britishmuseum</t>
  </si>
  <si>
    <t>Hearing @SimonTanner talking about the un-articulated values behind our approaches to museum assets and #digitalpreservation - the Cinderella of the museum world? #MADM2018 #digipres</t>
  </si>
  <si>
    <t>https://pbs.twimg.com/media/DmKZ7AeXoAAa7Im.jpg</t>
  </si>
  <si>
    <t>Looking forward to exploring digital preservation issues in the heritage sector today @britishmuseum #MADM2018 #DigitalPuppiesAreNotJustForChristmas! @GlennCumiskey</t>
  </si>
  <si>
    <t>https://pbs.twimg.com/media/DmKZ3dmXsAAWs0A.jpg</t>
  </si>
  <si>
    <t>#MADM2018 @SimonTanner : lots of unsung heroes in the room who will look after the infrastructure (the glass which holds the wine!) supporting digital content #digitalpreservation</t>
  </si>
  <si>
    <t>Trudie Cole</t>
  </si>
  <si>
    <t>#MADM2018 digital preservation is like drinking a glass of wine. What a great analogy @SimonTanner</t>
  </si>
  <si>
    <t>Portland Dorset</t>
  </si>
  <si>
    <t>Mother, archaeologist, museum learning dude, food blogger, vegan veg grower and whatever else takes my fancy any given day.</t>
  </si>
  <si>
    <t>Simon Tanner</t>
  </si>
  <si>
    <t>Keynote: Proposing the modes of digital value for a memory institution  #MADM2018</t>
  </si>
  <si>
    <t>https://simon-tanner.blogspot.com/2018/09/MADM2018.html</t>
  </si>
  <si>
    <t>Digital Cultural Heritage Professor @kingsdh Focus = value, impact &amp; strategy of digital. ProVice Dean (Impact &amp; Innovation) @kingsartshums. #beekeeping🐝</t>
  </si>
  <si>
    <t>http://www.facetpublishing.co.uk/title.php?id=049320</t>
  </si>
  <si>
    <t>#MADM2018 @SimonTanner : value is an unseen part of the #digitalpreservation process</t>
  </si>
  <si>
    <t>#MADM2018 @SimonTanner proposes the modes of #digital value for a memory institution</t>
  </si>
  <si>
    <t>https://pbs.twimg.com/media/DmKYeTvXoAEbtwp.jpg</t>
  </si>
  <si>
    <t>One more time for the people in the back... #MADM2018 @WilliamKilbride @britishmuseum</t>
  </si>
  <si>
    <t>https://pbs.twimg.com/media/DmKYVUCX4AER-g-.jpg</t>
  </si>
  <si>
    <t>Julia Fallon</t>
  </si>
  <si>
    <t>Great hashtag to follow today: #MADM2018 👀 #AllezCulture RT @HLFLondon: We're @britishmuseum today for their fascinating #museumsanddigitalmemory conference - it's a packed house and we can't wait to learn more about digital preservation best practice and the opportunities digital presents our sector 😊 #MADM2018</t>
  </si>
  <si>
    <t>https://twitter.com/HLFLondon/status/1036553403969810432</t>
  </si>
  <si>
    <t>pic.twitter.com/z0SqT5ydaA</t>
  </si>
  <si>
    <t>Amsterdam, NL</t>
  </si>
  <si>
    <t>Articulates how digital cultural heritage changes lives globally ➡️ #impactplaybook #SDG | Advocates #publicdomain #openGLAM ➡️ @europeanaIPR @rightsstmts</t>
  </si>
  <si>
    <t>https://about.me/jfallon</t>
  </si>
  <si>
    <t>Pondering that 'digitized' vs 'digital-born', while useful to describe relationships to analogue materials, also puts this relationship at the forefront of meaning for any 'digital object'. #MADM2018</t>
  </si>
  <si>
    <t>Can you ask yourself which digital data you would like to keep for the future ? Very good question by @williamkilbridge #MADM2018 #mbadmb</t>
  </si>
  <si>
    <t>https://pbs.twimg.com/media/DmKYD-_XsAEy5fy.jpg</t>
  </si>
  <si>
    <t>#MADM2018 @WilliamKilbride : #dpc is your friend! #digitalpreservation</t>
  </si>
  <si>
    <t>Always important to emphasise the Digitisation is NOT Preservation. @WilliamKilbride I'd buy the merchandise with that message if you start selling it #MADM2018</t>
  </si>
  <si>
    <t>https://pbs.twimg.com/media/DmKX1hfW4AAZliF.jpg</t>
  </si>
  <si>
    <t>SARAH L SAUNDERS</t>
  </si>
  <si>
    <t>Great opening speech to our #MADM2018 conference @britishmuseum from @GlennCumiskey and a real buzz here in the jam packed auditorium!</t>
  </si>
  <si>
    <t>Bushey, East</t>
  </si>
  <si>
    <t>Museum innovator, collaborator and writer. Loves the arts, history and culture.</t>
  </si>
  <si>
    <t>Is there a #git #softwarerepository targeted at #glam or do people just jump into @github ? #MADM2018</t>
  </si>
  <si>
    <t>Packed lecture theatre @britishmuseum today for our National Programmes conference #MADM2018!</t>
  </si>
  <si>
    <t>https://pbs.twimg.com/media/DmKX69zWsAAmoJn.jpg</t>
  </si>
  <si>
    <t>#MADM2018 @WilliamKilbride : #WDPD2018, #dpa2018 and #bitlist updates coming soon!! 29 November 2018. Be there!! #digitalpreservation</t>
  </si>
  <si>
    <t>T-shirts and stickers of this would be most useful! Just hand out when needed! @WilliamKilbride #MADM2018</t>
  </si>
  <si>
    <t>https://pbs.twimg.com/media/DmKXxCOWwAE6pku.jpg</t>
  </si>
  <si>
    <t>With the number of digitisation projects and equipment increasing in archaeology it is importance to remember that digitisation is not the same as digital preservation #MADM2018</t>
  </si>
  <si>
    <t>https://pbs.twimg.com/media/DmKXng8WwAAVbIJ.jpg</t>
  </si>
  <si>
    <t>It's the logo version of Where's Waldo! #MADM2018 @dri_ireland</t>
  </si>
  <si>
    <t>https://pbs.twimg.com/media/DmKXayFX4AAr7Io.jpg</t>
  </si>
  <si>
    <t>#MADM2018 @WilliamKilbride : the #dpc festival of logos! Diverse in sector and geography and open to all 😊</t>
  </si>
  <si>
    <t>https://pbs.twimg.com/media/DmKXWMNX4AEQlw0.jpg</t>
  </si>
  <si>
    <t>Tracey Mac</t>
  </si>
  <si>
    <t>Packed day ahead @britishmuseum for #MADM2018👍🏼 #digital #curation #preservation</t>
  </si>
  <si>
    <t>Assistant Curator - @GlasgowMuseums</t>
  </si>
  <si>
    <t>http://Instagram.com/jemimagin</t>
  </si>
  <si>
    <t>Rosie Weetch</t>
  </si>
  <si>
    <t>Digitization is not digital preservation. Enjoying the opening lectures at #madm2018 @britishmuseum this morning</t>
  </si>
  <si>
    <t>https://pbs.twimg.com/media/DmKXQtNXcAAmM0B.jpg</t>
  </si>
  <si>
    <t>day job: senior policy advisor for museums @dcms, ex-@britishmuseum. moonlighting: medieval (early and late) archaeology &amp; material culture. All tweets my own</t>
  </si>
  <si>
    <t>https://britishmuseum.academia.edu/RosieWeetch</t>
  </si>
  <si>
    <t>Things you will repeat often once you start working with #digitalpreservation - digital preservation is NOT digitisation. Also digital preservation is NOT backing up. #MADM2018 #DPTopTips</t>
  </si>
  <si>
    <t>Grateful for the shout out to #digitalpreservation vendors here today at #MADM2018 by @WilliamKilbride. Not so we can talk about products, but as William states, to continue the community discussion and to learn from each other. It’s most of what I do every day and I love it.</t>
  </si>
  <si>
    <t>Important to reiterate, says @WilliamKilbride : Digitization is not digital preservation. Also, *storage* is not preservation! See:  And... 'putting it on the web' is also not #digitalpreservation. #MADM2018 @dri_ireland @angrybunnie</t>
  </si>
  <si>
    <t>https://www.dri.ie/why-storage-not-preservation-conversation-surrounded-conservation</t>
  </si>
  <si>
    <t>Digitization is not Digital Preservation #MADM2018 @WilliamKilbride #weneedtolookafterthingsnotjustmakethem</t>
  </si>
  <si>
    <t>Ready to begin... Digital Curation at the British Museum #MADM2018 #PTM</t>
  </si>
  <si>
    <t>https://pbs.twimg.com/media/DmKW0_aXoAAPIXE.jpg</t>
  </si>
  <si>
    <t>Do audiences and visitors have a role in digital preservation? #MADM2018</t>
  </si>
  <si>
    <t>https://pbs.twimg.com/media/DmKWylgWwAAGl16.jpg</t>
  </si>
  <si>
    <t>Dr Esther Harper</t>
  </si>
  <si>
    <t>Constant #mood these days #MADM2018</t>
  </si>
  <si>
    <t>https://pbs.twimg.com/media/DmKWuLRXcAAV0SD.jpg</t>
  </si>
  <si>
    <t>mostly en angleterre</t>
  </si>
  <si>
    <t>Museum person. Historian of horses (and humans). Professional tea drinker.</t>
  </si>
  <si>
    <t>#MADM2018 @WilliamKilbride : #digitization is not #digitalpreservation. Repeat!</t>
  </si>
  <si>
    <t>zenlan</t>
  </si>
  <si>
    <t>#MADM2018 Fave digital artefact is WordPerhect</t>
  </si>
  <si>
    <t>http://wordperhect.e-2.org</t>
  </si>
  <si>
    <t>Steam-powered dev. Culture Collage creator</t>
  </si>
  <si>
    <t>http://www.zenlan.com/collage</t>
  </si>
  <si>
    <t>#MADM2018 @WilliamKilbride : who's involved in #digitalpreservation? Everyone!</t>
  </si>
  <si>
    <t>.@WilliamKilbride asks: What is your favourite digital object? Me: videos of my toddler niece. #MADM2018</t>
  </si>
  <si>
    <t>What is your favourite digital object? #MADM2018</t>
  </si>
  <si>
    <t>In regards to short term digital projects “they are like a bunch of flowers looks pretty for 3 days but will not last” @GlennCumiskey #MADM2018 @britishmuseum</t>
  </si>
  <si>
    <t>pic.twitter.com/IefM97ktzm</t>
  </si>
  <si>
    <t>#MADM2018 @WilliamKilbride : what's at stake? Data from selfie stick to space probe... And everything in between #digitalpreservation</t>
  </si>
  <si>
    <t>Museum E Anglia Life</t>
  </si>
  <si>
    <t>Our Curator Caitlin will be speaking about #Searchforthestars at #MADM2018 today @britishmuseum</t>
  </si>
  <si>
    <t>http://eastanglianlife.org.uk/searchforthestars/</t>
  </si>
  <si>
    <t>Stowmarket</t>
  </si>
  <si>
    <t>We tell the stories of East Anglian lives through beautiful countryside and distinctive objects and buildings,</t>
  </si>
  <si>
    <t>What do we need to preserve? Nicely defined scope @WilliamKilbride : "From selfie stick to space probe" #MADM2018</t>
  </si>
  <si>
    <t>Amanda King</t>
  </si>
  <si>
    <t>Kicking off #MADM2018 @britishmuseum with Joseph Wright of Derby @derbymuseums @NationalGallery</t>
  </si>
  <si>
    <t>https://pbs.twimg.com/media/DmKVbXuX4AAJ5cz.jpg</t>
  </si>
  <si>
    <t>London and S East</t>
  </si>
  <si>
    <t>Visual Arts professional, research and delivery, networks are my speciality</t>
  </si>
  <si>
    <t>http://www.amandamking.com</t>
  </si>
  <si>
    <t>#MADM2018 @WilliamKilbride : both at stake - born digital material and digitised content #digitalpreservation</t>
  </si>
  <si>
    <t>Keep changing Connect with everything Continue for ever @GlennCumiskey uses artist’s Tatsuo Miyajima’s title to stress the importance of Digital Preservation in the Museum world #MADM2018</t>
  </si>
  <si>
    <t>https://pbs.twimg.com/media/DmKVWn6XoAUs7Fb.jpg</t>
  </si>
  <si>
    <t>#MADM2018 @WilliamKilbride up now! Talking about some of the great work of our fabulous members in tackling the #digitalpreservation challenge</t>
  </si>
  <si>
    <t>https://pbs.twimg.com/media/DmKVJJaW0AAs_Jw.jpg</t>
  </si>
  <si>
    <t>Zofia</t>
  </si>
  <si>
    <t>Too true #MADM2018</t>
  </si>
  <si>
    <t>https://pbs.twimg.com/media/DmKVGOIWsAEVVzB.jpg</t>
  </si>
  <si>
    <t>Manchester</t>
  </si>
  <si>
    <t>Collections &amp; Exhibitions @nwmuseum. Currently undertaking my AMA. All views my own etc. etc.</t>
  </si>
  <si>
    <t>A rousing and inspiring start to #MADM2018 from @GlennCumiskey @britishmuseum @CamDigLib</t>
  </si>
  <si>
    <t>https://pbs.twimg.com/media/DmKVBuYXgAAbe3v.jpg</t>
  </si>
  <si>
    <t>Fantastic introduction from @GlennCumiskey - museums need to catch up with archives and libraries who have been doing this for 20 years! #digitalpreservation #MADM2018</t>
  </si>
  <si>
    <t>And now a fitting shoutout to @dpc_chat as one of the most influential actors in the #digitalpreservation space. @WilliamKilbride up next. Amazingly balanced intro from @GlennCumiskey, spanning the scope of the issue, case studies, organisations, etc. #MADM2018 @britishmuseum</t>
  </si>
  <si>
    <t>Next up is @WilliamKilbride of @dpc_chat - sadly no @BuzzKilbride with him 😏 #MADM2018</t>
  </si>
  <si>
    <t>Rachel Macfarlane</t>
  </si>
  <si>
    <t>2002: The start of the Digital Age, when use overtook analogue. Great start to #MADM2018 @britishmuseum @NNFBridge</t>
  </si>
  <si>
    <t>https://pbs.twimg.com/media/DmKUYBLX4AA0PqJ.jpg</t>
  </si>
  <si>
    <t>All views my own.</t>
  </si>
  <si>
    <t>#MADM2018 @GlennCumiskey : #digitalpreservation is not a new problem, there are people working on this and thinking about this already... Hear hear! @dpc_chat #dpc</t>
  </si>
  <si>
    <t>clear and specific message opening #MADM2018 - agencies who generate and take responsibility for content but don't think about #digitalpreservation are derelict in their duties.</t>
  </si>
  <si>
    <t>Ambitions to - keep changing, connect with everything and continue forever. A great set of aspirations for #digitalpreservation in museums from @GlennCumiskey #MADM2018</t>
  </si>
  <si>
    <t>#MADM2018 @GlennCumiskey : keep changing, connect with everything, continue forever. Only #digitalpreservation can support these aims</t>
  </si>
  <si>
    <t>The Repository is open to browse here:  #MADM2018 RT @natalieharrower: Thanks Glenn @GlennCumiskey for the lovely shoutout to the work of the @dri_ireland at #MADM2018! Two of us are here if anyone wants to chat ( @lisamgriffith and myself) @britishmuseum</t>
  </si>
  <si>
    <t>http://repository.dri.ie
https://twitter.com/natalieharrower/status/1036553469350555648</t>
  </si>
  <si>
    <t>The fantastic @dri_ireland also being namechecked -a great initiative that started on a smaller scale and grew 😊 #MADM2018</t>
  </si>
  <si>
    <t>Digital preservation is not (and should not be) the field of only large well-resourced organisations. Part of civilised societies is remembering so digital memory is key for our future @GlennCumiskey #MADM2018</t>
  </si>
  <si>
    <t>Thanks Glenn @GlennCumiskey for the lovely shoutout to the work of the @dri_ireland at #MADM2018! Two of us are here if anyone wants to chat ( @lisamgriffith and myself) @britishmuseum</t>
  </si>
  <si>
    <t>#MADM2018 @GlennCumiskey : we must make #digitalpreservation a business as usual practice.</t>
  </si>
  <si>
    <t>We're @britishmuseum today for their fascinating #museumsanddigitalmemory conference - it's a packed house and we can't wait to learn more about digital preservation best practice and the opportunities digital presents our sector 😊 #MADM2018</t>
  </si>
  <si>
    <t>Shout out for the British Library sound archive at #MADM2018 - cc the amazing @CherylTipp 😊</t>
  </si>
  <si>
    <t>https://pbs.twimg.com/media/DmKTns9XsAA0K4r.jpg</t>
  </si>
  <si>
    <t>Digital preservation must always include access as part of the process. Or as @GlennCumiskey says, a big part of what we now need to do is understand future audiences @britishmuseum #MADM2018 @dri_ireland</t>
  </si>
  <si>
    <t>#MADM2018 @GlennCumiskey : #digitalpreservation is not just for large well established memory institutions, its for everyone!</t>
  </si>
  <si>
    <t>G. Cumiskey: 'Preservation without access is not preservation at all' - knowing your audiences is key when thinking about digital preservation #MADM2018</t>
  </si>
  <si>
    <t>Just wondering what the digital equivalent would be of the catastrophic fire at Brazil's national museum. And wondering if it's happened/happening already #MADM2018</t>
  </si>
  <si>
    <t>TIME/IMAGE</t>
  </si>
  <si>
    <t>Hanging out at 'Museums &amp; Digital Memory' @britishmuseum today. Hoping to hear about some interesting stuff (but currently being distracted by the good lumbar support of the conference centre seats). #MADM2018</t>
  </si>
  <si>
    <t>https://pbs.twimg.com/media/DmKTJEYWsAAvKQ7.jpg</t>
  </si>
  <si>
    <t>We work with all kinds of cultural heritage collections to enable access, encourage exploration, and provoke engagement. Also on @poetic_places.</t>
  </si>
  <si>
    <t>http://www.timeimage.org.uk</t>
  </si>
  <si>
    <t>#MADM2018 digital collections require audiences to live: Glenn Cumisky.</t>
  </si>
  <si>
    <t>#DigitalPupiesAreNotJustForCristmas An incredible hashtag just to point out that digital data managed by museums are so huge since 2007 that it’s more than ever important to adopt a professional attitude for their preservation. @WilliamKilbride #MADM2018 #museum #mbadmb</t>
  </si>
  <si>
    <t>https://pbs.twimg.com/media/DmKTEC3WwAUjhS1.jpg</t>
  </si>
  <si>
    <t>“Preservation without access and reuse is not preservation at all” reminds us @GlennCumiskey #MADM2018</t>
  </si>
  <si>
    <t>Even the big guys have gotten it wrong with #digipres, without planning and engaging early in the data creation process, digital info can be lost #MADM2018</t>
  </si>
  <si>
    <t>Highlighting the importance of digital preservation and access rather than focussing on digital data collection #MADM2018 #digitaldata #digitaldilemma</t>
  </si>
  <si>
    <t>https://pbs.twimg.com/media/DmKTDzWX0AAYfP3.jpg</t>
  </si>
  <si>
    <t>Whenever I hear @GlennCumiskey speak, I always want to run away and work for a museum! #MADM2018</t>
  </si>
  <si>
    <t>Love how @GlennCumiskey is describing the loss of the original recording of the moon landing. Reminds me of the phenomenon of the bystander effect - the more people present, the less likely anyone is to help #MADM2018</t>
  </si>
  <si>
    <t>#MADM2018 @GlennCumiskey : we must understand our communities of use #digitalpreservation</t>
  </si>
  <si>
    <t>The hashtag to follow today is #MADM2018 - Museums and digital memory: from creation and curation to digital preservation</t>
  </si>
  <si>
    <t>https://pbs.twimg.com/media/DmKSiDXWsAMWUtS.jpg</t>
  </si>
  <si>
    <t>#MADM2018 @GlennCumiskey : what is #digitalpreservation? Its a series of actions and interventions required to ensure continued and reliable access to authentic digital objects for as long as they are deemed to be of value.</t>
  </si>
  <si>
    <t>Nice quote from a paper written by @mopennock in 2006 - probably the first time I really started thinking about #digitalpreservation #MADM2018</t>
  </si>
  <si>
    <t>Digital Preservation is not just a cost, it's an opportunity and it's for us to argue that to our institutions' says Glenn Cumisky of @britishmuseum #MADM2018</t>
  </si>
  <si>
    <t>The 'Museums and Digital Memory' conference at the @britishmuseum has just started! A very exciting day ahead -  #MADM2018</t>
  </si>
  <si>
    <t>https://bit.ly/2MKJchS</t>
  </si>
  <si>
    <t>White October</t>
  </si>
  <si>
    <t>Our Product Strategist, Hillary Reitman, is at the British Museum attending the Museums and Digital Memory event and learning how digital agencies can help the arts and culture sector with its digital evolution #MADM2018</t>
  </si>
  <si>
    <t>https://pbs.twimg.com/media/DmKRyY_W0AEeXxo.jpg</t>
  </si>
  <si>
    <t>Oxford</t>
  </si>
  <si>
    <t>White October is a digital product studio that helps companies to question and discover. See @whiteoctevents for our conferences.</t>
  </si>
  <si>
    <t>http://www.whiteoctober.co.uk</t>
  </si>
  <si>
    <t>#MADM2018 @GlennCumiskey : cost should not be a stumbling block. #digitalpreservation is an opportunity</t>
  </si>
  <si>
    <t>Getting started with @GlennCumiskey 'Museum's ability to create data has long surpassed our ability to manage that data' #MADM2018</t>
  </si>
  <si>
    <t>Dr Jenny Lee</t>
  </si>
  <si>
    <t>#digitalpuppiesarenotjustforchristmas so true #MADM2018</t>
  </si>
  <si>
    <t>Falmouth, Cornwall</t>
  </si>
  <si>
    <t>Digital Coordinator @cornwallmp &amp; Digital Coach @cultivatorcorn by day. Historial Geographer of design, modernism, and imperialism by night. Views my own.</t>
  </si>
  <si>
    <t>https://exeter.academia.edu/JennyLee</t>
  </si>
  <si>
    <t>CMP</t>
  </si>
  <si>
    <t>We hope all of the NPO Digital Engagement Officers have a brilliant time at #MADM2018 today with @cornwallmp's Digital Coordinator @Jenny_R_Lee! RT @ArchaeologySoph: Excited to be at #MADM2018 in large thanks to @cornwallmp for organising. Looking forward to bringing back good practice ideas to @Cornwall_Museum</t>
  </si>
  <si>
    <t>https://twitter.com/ArchaeologySoph/status/1036549088198709248</t>
  </si>
  <si>
    <t>https://pbs.twimg.com/media/DmKP5V6W4AU9-db.jpg</t>
  </si>
  <si>
    <t>Cornwall</t>
  </si>
  <si>
    <t>Cornwall Museums Partnership is a charity helping to secure a bright future for Cornwall's heritage http://www.cornwallmuseumspartnership.org.uk</t>
  </si>
  <si>
    <t>.@GlennCumiskey @britishmuseum Digital Preservation Manager layers the challenges of digital curation and preservation. In 2002 digital storage surpassed analogue marking the beginning of the digital era #MADM2018</t>
  </si>
  <si>
    <t>https://pbs.twimg.com/media/DmKRnQMW4AAYqdo.jpg</t>
  </si>
  <si>
    <t>#MADM2018 @GlennCumiskey : the era of cheap digital storage is over #digitalpreservation</t>
  </si>
  <si>
    <t>#digitalpuppiesarenotjustforchristmas great tag from @GlennCumiskey #MADM2018</t>
  </si>
  <si>
    <t>https://pbs.twimg.com/media/DmKReNjXoAAxpxW.jpg</t>
  </si>
  <si>
    <t>Julie Brown</t>
  </si>
  <si>
    <t>Too true! #MADM2018</t>
  </si>
  <si>
    <t>https://pbs.twimg.com/media/DmKRbmfXcAABa_s.jpg</t>
  </si>
  <si>
    <t>West Midlands</t>
  </si>
  <si>
    <t>Collections Curator at The New Art Gallery Walsall, passionate about connecting people with culture, access&amp;interpretation, equality&amp;diversity, health&amp;wellbeing</t>
  </si>
  <si>
    <t>http://thenewartgallerywalsall.org.uk</t>
  </si>
  <si>
    <t>#MADM2018 @GlennCumiskey : museums' ability to create data has long surpassed our ability to manage that data #digitalpuppiesarenotjustforchristmas</t>
  </si>
  <si>
    <t>Museums and digital memory conference fun at the British Museum today 🤓🏛 #MADM2018</t>
  </si>
  <si>
    <t>https://pbs.twimg.com/media/DmKRVIpW4AAIai2.jpg</t>
  </si>
  <si>
    <t>Sarah Mason</t>
  </si>
  <si>
    <t>at #MADM2018 today @britishmuseum thanks to getting a ticket from @ViderJaanika and @EdithHalvarsson - will be taking lots of notes for my team, so tweets will be sparse.</t>
  </si>
  <si>
    <t>Oxford, England</t>
  </si>
  <si>
    <t>On mat leave - Digital Preservation Fellow, Bodleian Libraries @BDLSS. Digitisation expert. Views are my own &amp; previously @SpunkyBrite.</t>
  </si>
  <si>
    <t>Sally Lewis</t>
  </si>
  <si>
    <t>Follow #MADM2018 today for museums &amp; digital memory @britishmuseum #digitalpreservation</t>
  </si>
  <si>
    <t xml:space="preserve">South West, England </t>
  </si>
  <si>
    <t>Museum Consultant &amp; Archaeologist. Networking to link collections, dance &amp; museums. Needs to be near the sea. #danceandmuseums #MATransformers</t>
  </si>
  <si>
    <t>Museums and digital memory: from creation &amp; curation to digitally preservation #MADM2018 @britishmuseum @CamDigLib</t>
  </si>
  <si>
    <t>https://pbs.twimg.com/media/DmKQ6rzXsAANw-K.jpg</t>
  </si>
  <si>
    <t>#MADM2018 @GlennCumiskey talks to us about an unprecedented era for change... #digitalpreservation is essential to support our digital age</t>
  </si>
  <si>
    <t>https://pbs.twimg.com/media/DmKQ59DXgAEJHpE.jpg</t>
  </si>
  <si>
    <t>Getting started with the #digipres content at #MADM2018, with @GlennCumiskey giving us an intro to the main issues...</t>
  </si>
  <si>
    <t>https://pbs.twimg.com/media/DmKQ4CHX4AAUvDn.jpg</t>
  </si>
  <si>
    <t>So pleased to be representing @TullieHouse at the #MADM2018 conference (museum and digital memory) @britishmuseum</t>
  </si>
  <si>
    <t>https://pbs.twimg.com/media/DmKQ0sxXgAAaG9L.jpg</t>
  </si>
  <si>
    <t>Always good to hear from @GlennCumiskey - taking about change and the challenges of change #MADM2018</t>
  </si>
  <si>
    <t>https://pbs.twimg.com/media/DmKQuDIWwAYBYTS.jpg</t>
  </si>
  <si>
    <t>At @britishmuseum today for the Museums and Digital Memory conference - looking forward to the day #MADM2018</t>
  </si>
  <si>
    <t>https://pbs.twimg.com/media/DmKQwykX4AElZPw.jpg</t>
  </si>
  <si>
    <t>Looking forward to the Museums and Digital Memory conference at the @britishmuseum today! If you’re around, come say hey 😊 #MADM2018</t>
  </si>
  <si>
    <t>https://pbs.twimg.com/media/DmKQtTRXoAAgnzF.jpg</t>
  </si>
  <si>
    <t>Talking about all things digital today at #MADM2018 @britishmuseum #Museums #Digital #DigitalMemory #Curator</t>
  </si>
  <si>
    <t>https://pbs.twimg.com/media/DmKQhL7W4AAcgT2.jpg</t>
  </si>
  <si>
    <t>Ready to share all the good practices and hear the best professionals of museums’ digitalisation. ⁦@GlennCumiskey⁩ ⁦@WilliamKilbride⁩ #MADM2018 #museumdigitization #mbadmb</t>
  </si>
  <si>
    <t>https://pbs.twimg.com/media/DmKQhfKX0AAJdrC.jpg</t>
  </si>
  <si>
    <t>Sarah Saunders, Head of Learning &amp; National Partnerships at @britishmuseum kicks off #MADM2018 A very full programme ahead and a sold out event with over 300 international participants</t>
  </si>
  <si>
    <t>Tessa</t>
  </si>
  <si>
    <t>Looking forward to the first keynote by @SimonTanner at #MADM2018 on the value of digital preservation in museums.</t>
  </si>
  <si>
    <t>Digital Humanities and Cultural History, UCL Research Fellow</t>
  </si>
  <si>
    <t>👤</t>
  </si>
  <si>
    <t>Ready for a whole day of fascinating talks about #digitalpreservation at @britishmuseum #MADM2018</t>
  </si>
  <si>
    <t>https://pbs.twimg.com/media/DmKQKlEX0AALXQj.jpg</t>
  </si>
  <si>
    <t>Starting off at #MADM2018 - we have @julieallinson speaking this afternoon about our digital archive project for Hull, City of Culture and a workshop with me</t>
  </si>
  <si>
    <t>https://pbs.twimg.com/media/DmKQH6oXcAAk6B5.jpg</t>
  </si>
  <si>
    <t>Lovely to be back @britishmuseum for all things collections and digital #MADM2018</t>
  </si>
  <si>
    <t>we're up and running for the #madm2018 @britishmuseum up on stage with @SimonTanner and @GlennCumiskey bright lights and massive audience.</t>
  </si>
  <si>
    <t>Very excited to be at #MADM2018 today, off to a great start with a cup of coffee meeting new people and hearing about their work.</t>
  </si>
  <si>
    <t>Excited about this conference - learning new things! Also hey look I'm famous! (Right of the photo) #MADM2018</t>
  </si>
  <si>
    <t>https://pbs.twimg.com/media/DmKQBxWXcAAWXhi.jpg</t>
  </si>
  <si>
    <t>So excited to be in @britishmuseum for Museums and Digital Memory: From creation and vibration to digital Preservation, took a while to narrow down panels for the day, so maby good talks #MADM2018 #DRI</t>
  </si>
  <si>
    <t>https://pbs.twimg.com/media/DmKQA1YX4AAM4GK.jpg</t>
  </si>
  <si>
    <t>R Palmer</t>
  </si>
  <si>
    <t>At #MADM2018 at the @britishmuseum learning about digital preservation, engagement and presentation.</t>
  </si>
  <si>
    <t>Web Developer, Data Wrangler, and IIIF Interester at the V&amp;A.</t>
  </si>
  <si>
    <t>ArchaeologySoph</t>
  </si>
  <si>
    <t>Excited to be at #MADM2018 in large thanks to @cornwallmp for organising. Looking forward to bringing back good practice ideas to @Cornwall_Museum</t>
  </si>
  <si>
    <t>Museum professional in the South West | Archaeologist | Feminist | HogwartsAlum | Token Lesbian in most rooms | Nerd |@sotonarch alumni | 🌈🦄</t>
  </si>
  <si>
    <t>We've arrived at @britishmuseum for  #MADM2018 Anyone else get the memo on required eyegear? @lisamgriffith @dri_ireland</t>
  </si>
  <si>
    <t>http://digitalpreservation101.com</t>
  </si>
  <si>
    <t>https://pbs.twimg.com/media/DmKPwTwW0AAF8RP.jpg</t>
  </si>
  <si>
    <t>#MADM2018 Hello!</t>
  </si>
  <si>
    <t>We're excited to be at the @britishmuseum today for the 'Museums and Digital Memory' conference! Drop by our booth to meet the team and chat all things digital preservation #MADM2018 #museums #digipres @dpc_chat</t>
  </si>
  <si>
    <t>https://pbs.twimg.com/media/DmKPPCzXgAAJd9o.jpg</t>
  </si>
  <si>
    <t>Arrived at #MADM2018. Packed day in store.</t>
  </si>
  <si>
    <t>https://pbs.twimg.com/media/DmKPP_iX0AA3M7S.jpg</t>
  </si>
  <si>
    <t>#MADM2018 getting ready to start off the day at @britishmuseum!</t>
  </si>
  <si>
    <t>https://pbs.twimg.com/media/DmKO5-BW4AA0y4Y.jpg</t>
  </si>
  <si>
    <t>All about to kick off @britishmuseum #MADM2018 ready with @mimacurator to talk digital and constituent led curating</t>
  </si>
  <si>
    <t>Feeling a bit Ferris Beuller with @paulstewart90 at digital collecting, conservation and curating conference at @britishmuseum this morning #MADM2018</t>
  </si>
  <si>
    <t>https://pbs.twimg.com/media/DmKOXxcXsAAo1s1.jpg</t>
  </si>
  <si>
    <t>Waiting in anticipation with the Cornwall Museums Digital Engagement Group for the ‘Museums and Digital Momory’ Conference to start @britishmuseum #MADM2018 (supported by @CultivatorCorn)</t>
  </si>
  <si>
    <t>https://pbs.twimg.com/media/DmKOHDFXoAEwgP5.jpg</t>
  </si>
  <si>
    <t>#MADM2018 lecture theatre is filling up fast. Looking forward to an interesting day</t>
  </si>
  <si>
    <t>https://pbs.twimg.com/media/DmKNsztXcAAwJAG.jpg</t>
  </si>
  <si>
    <t>Penlee House Gallery</t>
  </si>
  <si>
    <t>looking forward to today’s Museums and Digital Memory Conference at @britishmuseum #MADM2018</t>
  </si>
  <si>
    <t>https://pbs.twimg.com/media/DmKNj5vWsAEmvA6.jpg</t>
  </si>
  <si>
    <t>Penzance, Cornwall</t>
  </si>
  <si>
    <t>Penlee House is Cornwall's only public Gallery specialising in the Newlyn School artists. We are a first class gallery and museum set within an attractive park.</t>
  </si>
  <si>
    <t>http://www.penleehouse.org.uk</t>
  </si>
  <si>
    <t>Daniel Pett</t>
  </si>
  <si>
    <t>I could not go to #madm2018, but I have been thinking a bit about some material around this area with regards to archiving and preserving digital cultural memory. There's some great projects out there for @britishmuseum and others.</t>
  </si>
  <si>
    <t>Θάλασσα/ Aldbury/ Cambridge</t>
  </si>
  <si>
    <t>Head of Digital &amp; IT @fitzmuseum_uk #DigitalHumanities Hon. UCL lecturer, FSA, FRGS #citizensci, #rugby 🏉, #archaeology #3d, #micropasts CURUFC #museums</t>
  </si>
  <si>
    <t>http://museologi.st</t>
  </si>
  <si>
    <t>Arriving @britishmuseum today for #MADM2018 very excited to be here for Museums and Digital Memory</t>
  </si>
  <si>
    <t>https://www.digitalpreservation101.com</t>
  </si>
  <si>
    <t>https://pbs.twimg.com/media/DmKJfeJUwAA5bOu.jpg</t>
  </si>
  <si>
    <t>Karen Bell</t>
  </si>
  <si>
    <t>Excited to be @britishmuseum for #MADM2018 @Cornwall_Museum @cornwallmp</t>
  </si>
  <si>
    <t>Museum Curator, Geologist, Smurf Ambassador, Cat Servant</t>
  </si>
  <si>
    <t>Cai Parry-Jones</t>
  </si>
  <si>
    <t>It might be beautifully sunny in London today, but I get to spend the entire day @britishmuseum for #MADM2018! #Digital #Museums #GLAMs #DigitalCuration #DigitalInterpretation #Digitalpreservation #DigitalCollections #DigitalHeritage</t>
  </si>
  <si>
    <t>https://pbs.twimg.com/media/DmKGdEFW4AAniqv.jpg</t>
  </si>
  <si>
    <t>Digital Collections Manager|Historian|#OralHistory interviewer @HistParl|Trustee @Oralhistorysoc|Welsh Speaker|The Jews of Wales: A History(@uniwalespress,2017)</t>
  </si>
  <si>
    <t>http://www.ohs.org.uk/person/cai-parry-jones/</t>
  </si>
  <si>
    <t>Just got back from one conference, time for another! #MADM2018 @britishmuseum</t>
  </si>
  <si>
    <t>Frank T. Hopfgartner</t>
  </si>
  <si>
    <t>Pleased to see many familiar faces at #MADM2018 today. RT @Sarah_DPC: For the rest of the day though, I shall mostly be tweeting about the AWESOME #MADM2018 conf happening @britishmuseum today! So much #culture #heritage and #digitalpreservation goodness going on!</t>
  </si>
  <si>
    <t>https://twitter.com/Sarah_DPC/status/1036506973477462016
https://www.digitalpreservation101.com/</t>
  </si>
  <si>
    <t>Sheffield</t>
  </si>
  <si>
    <t>Senior Lecturer in Data Science at @SheffieldUni working on Information Retrieval, #RecSys, and Quantified Self.</t>
  </si>
  <si>
    <t>http://www.hopfgartner.co.uk/</t>
  </si>
  <si>
    <t>ChurchCare.co.uk</t>
  </si>
  <si>
    <t>We are attending the Museums and digital memory conference at the @britishmuseum today. We're looking forward to hearing and discussing how digital technology can assist churches and cathedrals in the promotion and displaying of their heritage #MADM2018</t>
  </si>
  <si>
    <t>England</t>
  </si>
  <si>
    <t>The comprehensive resource for the CofE's 16000 churches. Care, conservation, community use and more.</t>
  </si>
  <si>
    <t>http://www.churchcare.co.uk</t>
  </si>
  <si>
    <t>Have arrived all ready for #MADM2018 #digitalpreservation @britishmuseum</t>
  </si>
  <si>
    <t>https://pbs.twimg.com/media/DmJ-3u0WsAAL5UG.jpg</t>
  </si>
  <si>
    <t>Jason Webber</t>
  </si>
  <si>
    <t>At the wonderful @britishmuseum to speak at the ‘Museums and Digital Memory’ conference. #MADM2018 come and say hi.</t>
  </si>
  <si>
    <t>https://pbs.twimg.com/media/DmJ-noKXgAAj849.jpg</t>
  </si>
  <si>
    <t>Work for @UKWebArchive at @britishlibrary Love science, history, boardgames and microadventures. Views are my own</t>
  </si>
  <si>
    <t>UK Web Archive</t>
  </si>
  <si>
    <t>If you are at ‘Museums and Digital Memory’ conference at @britishmuseum today and are interested in #we Archiving , say hello to our speaker@jasonmarkwebber #MADM2018</t>
  </si>
  <si>
    <t>UK Legal Deposit Libraries collecting, preserving and giving access to the archived UK web. Blog: http://bit.ly/1yeAsPv</t>
  </si>
  <si>
    <t>http://www.webarchive.org.uk/</t>
  </si>
  <si>
    <t>We are attending the Museums and digital memory conference at the @britishmuseum today, where our work for @patymurrieta and @manxheritage will be discussed in the 3D laser scanning session #conservation #heritage #MADM2018</t>
  </si>
  <si>
    <t>Lorraine</t>
  </si>
  <si>
    <t>Looks like a busy day ahead for #MADM2018 delegates @britishmuseum Looking forward to following the tweets @WilliamKilbride @Sarah_DPC @SharonMcMeekin @CriticalSteph @MariaEcoGl @GlennCumiskey @SimonTanner @FTHopf @Preservica @mirrorweb @Arkivum</t>
  </si>
  <si>
    <t>https://pbs.twimg.com/media/DmJ63PyWwAAJHzS.jpg</t>
  </si>
  <si>
    <t>Personal account so views my own! | Archivist | Former board @PS_Journal | Tweets @holmwoodglasgow | Former student @UofGInfoStudies | Music, books &amp; gaming</t>
  </si>
  <si>
    <t>https://www.linkedin.com/in/lorraine-murray-6a332a68/</t>
  </si>
  <si>
    <t>London bound for the Museums and Digital Memory conference @britishmuseum #MADM2018</t>
  </si>
  <si>
    <t>Sammy Field</t>
  </si>
  <si>
    <t>Heading to #MADM2018 today. Can't wait to learn more about #cultural #heritage and #digitalpreservation at the wonder @britishmuseum</t>
  </si>
  <si>
    <t>Guildford, UK</t>
  </si>
  <si>
    <t>PhD Candidate in #bioarch. In my downtime I love #Hockey, #museums &amp; #tea</t>
  </si>
  <si>
    <t>http://beautifullybony.wordpress.com/</t>
  </si>
  <si>
    <t>Heading to #MADM2018 today feeling heartbroken about all the memory that was lost in the fire that destroyed the National Museum of Rio in Brazil last night. It was the oldest museum in Brazil with a collection of 20 million items</t>
  </si>
  <si>
    <t>On my way to Museums and Digital Memory event @britishmuseum today #MADM2018. Feeling fully-charged and switched on.</t>
  </si>
  <si>
    <t>Jonathan Ablett</t>
  </si>
  <si>
    <t>Off to the British museum today to talk about slugs and snails and #digitalpreservation at the #MADM2018 conference. Must be  time again!</t>
  </si>
  <si>
    <t>https://gbmolluscatypes.ac.uk</t>
  </si>
  <si>
    <t>Senior Curator of Mollusca at the Natural History Museum, London. Especially interested in all things snail and squid.</t>
  </si>
  <si>
    <t>Whizzing my way to London for 'Museums &amp; Digital Memory: From creation &amp;amp; curation to digital preservation' #madm2018 Looks like there'll be lots of learning to take back to @PHMMcr If only I could decide which breakout sessions to attend!</t>
  </si>
  <si>
    <t>Dr Vicky Donnellan</t>
  </si>
  <si>
    <t>Going to #MADM2018 at @britishmuseum today. A good day to return to work after my holiday! The programme looks fab - really struggling to choose between sessions.</t>
  </si>
  <si>
    <t>Researcher and museum professional. PhD in classical archaeology/museum studies. Documentation Officer at British Museum. Tutor at City Lit. Opinions my own.</t>
  </si>
  <si>
    <t>http://www.vickydonnellan.co.uk</t>
  </si>
  <si>
    <t>Micky Lindlar</t>
  </si>
  <si>
    <t>Looks like #MADM2018 is the handle to follow today. Direct link to today's programme here:  (also ... how is that read ... "madam 2018"?) RT @Sarah_DPC: For the rest of the day though, I shall mostly be tweeting about the AWESOME #MADM2018 conf happening @britishmuseum today! So much #culture #heritage and #digitalpreservation goodness going on!</t>
  </si>
  <si>
    <t>https://www.digitalpreservation101.com/programme/
https://twitter.com/Sarah_DPC/status/1036506973477462016
https://www.digitalpreservation101.com/</t>
  </si>
  <si>
    <t>#oaispunk and digital preservation nerd at @TIBHannover and beyond. views are my own and not endorsed by my employer or anyone else</t>
  </si>
  <si>
    <t>For the rest of the day though, I shall mostly be tweeting about the AWESOME #MADM2018 conf happening @britishmuseum today! So much #culture #heritage and #digitalpreservation goodness going on!</t>
  </si>
  <si>
    <t>https://www.digitalpreservation101.com/</t>
  </si>
  <si>
    <t>Looking forward to exhibiting at #MADM2018 at the British Museum today! @Arkivum CTO Matthew Addis will be there too. Now, if I can just find a train that isn’t cancelled ... 🙄</t>
  </si>
  <si>
    <t>It's on! See you at #MADM2018 today @britishmuseum @dpc_chat</t>
  </si>
  <si>
    <t>https://pbs.twimg.com/media/DmJmU5eXoAYgyOz.jpg</t>
  </si>
  <si>
    <t>Seeing this terrible news as I get ready to head to @britishmuseum for  conference. #MADM2018 -- Brazil's 200-year-old national museum hit by huge fire</t>
  </si>
  <si>
    <t>http://digitalpreservation101.com
http://www.bbc.co.uk/news/world-latin-america-45392668</t>
  </si>
  <si>
    <t>Dr Joanne Dyer</t>
  </si>
  <si>
    <t>Great line up for “Museums and #digital memory” today ⁦@britishmuseum⁩ #MADM2018</t>
  </si>
  <si>
    <t>Scientist working on #polychromy on ancient sculpture @britishmuseum | Hunter-gatherer of lost pigments</t>
  </si>
  <si>
    <t>https://orcid.org/0000-0002-3275-8612</t>
  </si>
  <si>
    <t>Looking forward to seeing what #Coventry can learn from #MADM2018 regarding our digital content ready for #cityofculture2021 🏛🚗 off to the #britishmuseum !!</t>
  </si>
  <si>
    <t>Very excited about giving closing plenary at #MADM2018 at @britishmuseum organised with @dpc_chat Great programme makes up for really early flight from Glasgow!</t>
  </si>
  <si>
    <t>Off to the @britishmuseum for #MADM2018 tomorrow lots of interesting talks to choose from  #digital #museums</t>
  </si>
  <si>
    <t>https://www.digitalpreservation101.com/programme/</t>
  </si>
  <si>
    <t>It's Sunday night so it must be Glasgow Airport. En route to #MADM2018</t>
  </si>
  <si>
    <t>Christian Gries</t>
  </si>
  <si>
    <t>Morgen via #MADM2018 mitlesen: „MUSEUMS AND DIGITAL MEMORY: FROM CREATION AND CURATION TO DIGITAL PRESERVATION“ - conference at @britishmuseum. #DigSMus #museum</t>
  </si>
  <si>
    <t>Munich, Germany</t>
  </si>
  <si>
    <t>Kunstgeschichte / Museum / #Digitalisierung / Mitbegründer @kulturkonsorten / Janusmedia / Projekt Digitale Strategien für Museen #DigSMus an der @LstfMBY</t>
  </si>
  <si>
    <t>http://blog.iliou-melathron.de/</t>
  </si>
  <si>
    <t>Landed in London-town for #MADM2018 and enjoying dinner al-fresco at Russell Square 😊 See you tomorrow! #LondonBaby #Museums #CPD @britishmuseum</t>
  </si>
  <si>
    <t>https://pbs.twimg.com/media/DmGzjCVWsAEnDrf.jpg</t>
  </si>
  <si>
    <t>04:55 train from Chester to the @britishmuseum in the morning for the #MADM2018 #Museums and #Digital Memory event! Looking forward to hearing @manxheritage speaking about @mediahiimpact’s #3D modelling of #CastleRushen among the other digital projects they’ve been working on.</t>
  </si>
  <si>
    <t>And the journey to #MADM2018 begins. The programme looks fantastic - so many sessions I want to go to. I need to figure out how to be in two (or three) places at once.</t>
  </si>
  <si>
    <t>Just when I think I’ve finally settled on which #madm2018 breakout sessions to attend another one catches my eye @britishmuseum #dpc @dpc_chat #digitalpreservation #fomo</t>
  </si>
  <si>
    <t>Some of the Keynote events will be recorded for release later, but due to resource constraints we will be unable to stream the event live. Follow the conversation at #MADM2018 though. RT @regula_gassm: @GlennCumiskey @dpc_chat @britishmuseum Will there also be a live stream for the talks? Would be great.</t>
  </si>
  <si>
    <t>https://twitter.com/regula_gassm/status/1036224696629518336</t>
  </si>
  <si>
    <t>Isabel Bordes</t>
  </si>
  <si>
    <t>Exciting programme #MADM2018! @britishmuseum I wish I was there,anyway I’ll follow up close any news about it! Im sure I would love to split up into pieces to be able to attend most of parallel sessions 😱</t>
  </si>
  <si>
    <t>Madrid, Comunidad de Madrid</t>
  </si>
  <si>
    <t>digital librarian at BNE seeking her way amongst bits and bytes, digital preservation, science, illustration and jazz. All opinions are my own, except retweets.</t>
  </si>
  <si>
    <t>Lise Jaillant</t>
  </si>
  <si>
    <t>Looking forward to the #MADM2018 conference at @britishmuseum on Monday! The programme is available here:</t>
  </si>
  <si>
    <t>French-born, London-based cosmopolite. AHRC Leader Fellow. Passionate about literary archives and Digital Humanities #AfterDigRev</t>
  </si>
  <si>
    <t>http://www.lisejaillant.com/</t>
  </si>
  <si>
    <t>Excited to be keynote for this conference #MADM2018 Come talk to me about value and impact and all things digital! RT @GeorgiaMallin: Less than a week to go until our @britishmuseum National Programmes conference with @dpc_chat! 'Museums and Digital Memory' is now fully booked, but you can join the conversation online using #MADM2018. See the full line-up of fabulous speakers here:</t>
  </si>
  <si>
    <t>https://twitter.com/GeorgiaMallin/status/1034391974554607616
https://www.digitalpreservation101.com/</t>
  </si>
  <si>
    <t>Heading out of work @britishmuseum like 💆💪🙌knowing you're all ready to go for #MADM2018 on Monday! Let's go rest up in the meantime @dpc_chat @Sarah_DPC @WilliamKilbride @SharonMcMeekin @GlennCumiskey @EleanorChant @SophieSzynaka @nsalinasburton @mbojanowska</t>
  </si>
  <si>
    <t>https://pbs.twimg.com/media/Dl8rCOCW4AQm_Zb.jpg</t>
  </si>
  <si>
    <t>Really looking forward to speaking at the 'Museums and Digital Memory' conference at @britishmuseum on Monday. If you are there and curious about preserving the UK web, come and have a chat. #MADM2018</t>
  </si>
  <si>
    <t>How am I supposed to choose from all of these great sessions at the Museums and Digital Memory conference?!? Really looking forward to being there! #MADM2018</t>
  </si>
  <si>
    <t>pic.twitter.com/ItPxVTnthe</t>
  </si>
  <si>
    <t>Monday's #digitalpreservation conference is good to go. Thanks to @dpc_chat @britishmuseum and all our speakers for all their hard work to date. Find out more at  and join the conversation at #MADM2018 on Monday September 3rd.</t>
  </si>
  <si>
    <t>https://pbs.twimg.com/media/Dl76ZNMU0AAPQu-.jpg</t>
  </si>
  <si>
    <t>Holly Ling Hou</t>
  </si>
  <si>
    <t>Feeling excited to talk about my study at #MADM2018 RT @GlennCumiskey: The @britishmuseum's first #digitalpreservation conference is only a week away. Find out more at  and become part of the conversation @dpc_chat Some fantastic presentations from the Museum community and beyond.</t>
  </si>
  <si>
    <t>https://twitter.com/GlennCumiskey/status/1032886636143632384
http://www.digitalpreservation101.com</t>
  </si>
  <si>
    <t>London College of Communication</t>
  </si>
  <si>
    <t>cathal</t>
  </si>
  <si>
    <t>Looking forward to sitting on a panel about #lifelogging at #MADM2018 on Monday at the British Museum, with @FTHopf</t>
  </si>
  <si>
    <t>Dublin City University, Ireland Lifelogger. Quantified Self. Multimedia Search.</t>
  </si>
  <si>
    <t>https://about.me/cgurrin</t>
  </si>
  <si>
    <t>We are attending #MADM2018, hosted by @britishmuseum in partnership with @dpc_chat. Visit us in the Clore Centre for Education (West Foyer) to talk #digitalarchiving and to get your FREE #web and #socialmedia #archive.</t>
  </si>
  <si>
    <t>https://pbs.twimg.com/media/Dl7RAe2WsAE33-L.jpg</t>
  </si>
  <si>
    <t>Our Research Technologies Team will be at the British Museum Conference on 3 September 2018. Join @julieallinson and @CriticalSteph as they give HOW Sessions Keynotes and HOW Breakout sessions on digital preservation. #MADM2018</t>
  </si>
  <si>
    <t>Getting a bit excited about the #MADM2018 conference at @britishmuseum on Monday - some very interesting sounding talks!</t>
  </si>
  <si>
    <t>It's #dpc #ff Follow Friday. This week I am going to set you all up for #MADM2018 - Museums and Digital Memory @britishmuseum on Monday.</t>
  </si>
  <si>
    <t>#MADM2018 attendees might be interested in this #Curator, #Digital Publications vacancy at the @britishlibrary. The position involves working on the exciting Emerging Formats project. Chat with me on Monday if you want more info!#digitalpreservation #media</t>
  </si>
  <si>
    <t>https://britishlibrary.recruitment.northgatearinso.com/birl/pages/vacancy.jsf?latest=01001612</t>
  </si>
  <si>
    <t>Gearing up for Museums and Digital Memory at the @britishmuseum next week. #MADM2018 Happy to be inserting the #digitalpreservation agenda into the panel on life logging</t>
  </si>
  <si>
    <t>Ready for #MADM2018 @dpc_chat conference housed at the @britishmuseum !😊 Can't wait to meet you there next monday! #museums #conference #3d # #digital</t>
  </si>
  <si>
    <t>https://pbs.twimg.com/media/Dl3GWwiWsAEI09_.jpg</t>
  </si>
  <si>
    <t>Getting my presentations sorted before #MADM2018 at the @britishmuseum next week. Looking forward to it!</t>
  </si>
  <si>
    <t>http://bit.ly/2omn3rs</t>
  </si>
  <si>
    <t>It's less than a week until the fabulous @britishmuseum 'Museums and digital memory: from creation and #curation to #digitalpreservation' Conference! Follow the hashtag for ALL the #digipres #museums goodness: #MADM2018. Team #DPC will see you there:</t>
  </si>
  <si>
    <t>https://dpconline.org/events/co-sponsored-event-all-welcome-registration-essential/bmconference2018</t>
  </si>
  <si>
    <t>Less than a week to go until our @britishmuseum National Programmes conference with @dpc_chat! 'Museums and Digital Memory' is now fully booked, but you can join the conversation online using #MADM2018. See the full line-up of fabulous speakers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</si>
</sst>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11">
    <font>
      <sz val="10"/>
      <color rgb="FF000000"/>
      <name val="Arial"/>
    </font>
    <font>
      <sz val="10"/>
      <color rgb="FFFFFFFF"/>
      <name val="Arial"/>
    </font>
    <font>
      <sz val="9"/>
      <color rgb="FFFFFFFF"/>
      <name val="Droid Sans"/>
    </font>
    <font>
      <sz val="8"/>
      <color rgb="FFFFFFFF"/>
      <name val="Droid Sans"/>
    </font>
    <font>
      <sz val="10"/>
      <name val="Arial"/>
    </font>
    <font>
      <sz val="8"/>
      <name val="Droid Sans"/>
    </font>
    <font>
      <u/>
      <sz val="8"/>
      <color rgb="FF0000FF"/>
      <name val="Droid Sans"/>
    </font>
    <font>
      <u/>
      <sz val="8"/>
      <color rgb="FF0000FF"/>
      <name val="Droid Sans"/>
    </font>
    <font>
      <u/>
      <sz val="8"/>
      <color rgb="FF0000FF"/>
      <name val="Droid Sans"/>
    </font>
    <font>
      <u/>
      <sz val="8"/>
      <color rgb="FF0000FF"/>
      <name val="Droid Sans"/>
    </font>
    <font>
      <u/>
      <sz val="8"/>
      <color rgb="FF0000FF"/>
      <name val="Droid Sans"/>
    </font>
  </fonts>
  <fills count="5">
    <fill>
      <patternFill patternType="none"/>
    </fill>
    <fill>
      <patternFill patternType="gray125"/>
    </fill>
    <fill>
      <patternFill patternType="solid">
        <fgColor rgb="FF1155CC"/>
        <bgColor rgb="FF1155CC"/>
      </patternFill>
    </fill>
    <fill>
      <patternFill patternType="solid">
        <fgColor rgb="FF3C78D8"/>
        <bgColor rgb="FF3C78D8"/>
      </patternFill>
    </fill>
    <fill>
      <patternFill patternType="solid">
        <fgColor rgb="FF4A86E8"/>
        <bgColor rgb="FF4A86E8"/>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xf numFmtId="0" fontId="1" fillId="2" borderId="0" xfId="0" applyFont="1" applyFill="1" applyAlignment="1"/>
    <xf numFmtId="0" fontId="1" fillId="2" borderId="0" xfId="0" applyFont="1" applyFill="1"/>
    <xf numFmtId="164" fontId="4" fillId="0" borderId="0" xfId="0" applyNumberFormat="1" applyFont="1" applyAlignment="1"/>
    <xf numFmtId="164" fontId="3" fillId="4" borderId="1" xfId="0" applyNumberFormat="1" applyFont="1" applyFill="1" applyBorder="1" applyAlignment="1">
      <alignment horizontal="center" vertical="center"/>
    </xf>
    <xf numFmtId="0" fontId="4" fillId="0" borderId="0" xfId="0" applyFont="1" applyAlignment="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4" fontId="5" fillId="0" borderId="0" xfId="0" applyNumberFormat="1"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7" fillId="0" borderId="0" xfId="0" applyFont="1" applyAlignment="1">
      <alignment horizontal="center" vertical="center"/>
    </xf>
    <xf numFmtId="0" fontId="5" fillId="0" borderId="0" xfId="0" applyFont="1" applyAlignment="1">
      <alignment horizontal="left" vertical="center"/>
    </xf>
    <xf numFmtId="0" fontId="8"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quotePrefix="1" applyFont="1" applyAlignment="1">
      <alignment vertical="center" wrapText="1"/>
    </xf>
    <xf numFmtId="0" fontId="10" fillId="0" borderId="0" xfId="0" applyFont="1" applyAlignment="1">
      <alignment vertical="center"/>
    </xf>
    <xf numFmtId="14" fontId="5" fillId="0" borderId="0" xfId="0" applyNumberFormat="1"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64" fontId="5" fillId="0" borderId="0" xfId="0" applyNumberFormat="1" applyFont="1" applyAlignment="1">
      <alignment horizontal="center" vertical="center"/>
    </xf>
    <xf numFmtId="0" fontId="2" fillId="2" borderId="0" xfId="0" applyFont="1" applyFill="1" applyAlignment="1">
      <alignment horizontal="center" vertical="center"/>
    </xf>
    <xf numFmtId="0" fontId="0" fillId="0" borderId="0" xfId="0" applyFont="1" applyAlignment="1"/>
    <xf numFmtId="0" fontId="3"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fauxtoegrafik.wordpress.com/" TargetMode="External"/><Relationship Id="rId299" Type="http://schemas.openxmlformats.org/officeDocument/2006/relationships/hyperlink" Target="https://pbs.twimg.com/media/DmK0j9lXoAAcQQU.jpg" TargetMode="External"/><Relationship Id="rId21" Type="http://schemas.openxmlformats.org/officeDocument/2006/relationships/hyperlink" Target="https://pbs.twimg.com/media/DmMDDbeWsAEwRcF.jpg" TargetMode="External"/><Relationship Id="rId63" Type="http://schemas.openxmlformats.org/officeDocument/2006/relationships/hyperlink" Target="http://infinitetypewriters.wordpress.com/" TargetMode="External"/><Relationship Id="rId159" Type="http://schemas.openxmlformats.org/officeDocument/2006/relationships/hyperlink" Target="http://www.doublexp.net/" TargetMode="External"/><Relationship Id="rId324" Type="http://schemas.openxmlformats.org/officeDocument/2006/relationships/hyperlink" Target="http://www.gla.ac.uk/schools/humanities/staff/mariaeconomou/" TargetMode="External"/><Relationship Id="rId366" Type="http://schemas.openxmlformats.org/officeDocument/2006/relationships/hyperlink" Target="https://pbs.twimg.com/media/DmKhWzAX0AAh4Vr.jpg" TargetMode="External"/><Relationship Id="rId531" Type="http://schemas.openxmlformats.org/officeDocument/2006/relationships/hyperlink" Target="http://www.dpconline.org/" TargetMode="External"/><Relationship Id="rId573" Type="http://schemas.openxmlformats.org/officeDocument/2006/relationships/hyperlink" Target="http://dri.ie/dri-team/natalie-harrower" TargetMode="External"/><Relationship Id="rId629" Type="http://schemas.openxmlformats.org/officeDocument/2006/relationships/hyperlink" Target="https://twitter.com/regula_gassm/status/1036224696629518336" TargetMode="External"/><Relationship Id="rId170" Type="http://schemas.openxmlformats.org/officeDocument/2006/relationships/hyperlink" Target="http://www.oonaghmurphy.com/" TargetMode="External"/><Relationship Id="rId226" Type="http://schemas.openxmlformats.org/officeDocument/2006/relationships/hyperlink" Target="http://www.dri.ie/" TargetMode="External"/><Relationship Id="rId433" Type="http://schemas.openxmlformats.org/officeDocument/2006/relationships/hyperlink" Target="http://www.facetpublishing.co.uk/title.php?id=049320" TargetMode="External"/><Relationship Id="rId268" Type="http://schemas.openxmlformats.org/officeDocument/2006/relationships/hyperlink" Target="https://pbs.twimg.com/media/DmK9Q76WwAAt4nB.jpg" TargetMode="External"/><Relationship Id="rId475" Type="http://schemas.openxmlformats.org/officeDocument/2006/relationships/hyperlink" Target="https://research.ng-london.org.uk/" TargetMode="External"/><Relationship Id="rId640" Type="http://schemas.openxmlformats.org/officeDocument/2006/relationships/hyperlink" Target="http://www.britishmuseum.org/" TargetMode="External"/><Relationship Id="rId32" Type="http://schemas.openxmlformats.org/officeDocument/2006/relationships/hyperlink" Target="https://pbs.twimg.com/media/DmLyH8aW0AAUxlM.jpg" TargetMode="External"/><Relationship Id="rId74" Type="http://schemas.openxmlformats.org/officeDocument/2006/relationships/hyperlink" Target="http://linkedin.com/in/elisagravil" TargetMode="External"/><Relationship Id="rId128" Type="http://schemas.openxmlformats.org/officeDocument/2006/relationships/hyperlink" Target="http://www.mardixon.com/" TargetMode="External"/><Relationship Id="rId335" Type="http://schemas.openxmlformats.org/officeDocument/2006/relationships/hyperlink" Target="http://www.gla.ac.uk/schools/humanities/staff/mariaeconomou/" TargetMode="External"/><Relationship Id="rId377" Type="http://schemas.openxmlformats.org/officeDocument/2006/relationships/hyperlink" Target="https://www.bl.uk/people/experts/caylin-smith" TargetMode="External"/><Relationship Id="rId500" Type="http://schemas.openxmlformats.org/officeDocument/2006/relationships/hyperlink" Target="http://www.dri.ie/" TargetMode="External"/><Relationship Id="rId542" Type="http://schemas.openxmlformats.org/officeDocument/2006/relationships/hyperlink" Target="http://www.dpconline.org/" TargetMode="External"/><Relationship Id="rId584" Type="http://schemas.openxmlformats.org/officeDocument/2006/relationships/hyperlink" Target="https://pbs.twimg.com/media/DmKOHDFXoAEwgP5.jpg" TargetMode="External"/><Relationship Id="rId5" Type="http://schemas.openxmlformats.org/officeDocument/2006/relationships/hyperlink" Target="https://twitter.com/ddconference18/status/1037247475499900928" TargetMode="External"/><Relationship Id="rId181" Type="http://schemas.openxmlformats.org/officeDocument/2006/relationships/hyperlink" Target="http://southamericando.wordpress.com/" TargetMode="External"/><Relationship Id="rId237" Type="http://schemas.openxmlformats.org/officeDocument/2006/relationships/hyperlink" Target="https://pbs.twimg.com/media/DmLBsUBX4AA93nE.jpg" TargetMode="External"/><Relationship Id="rId402" Type="http://schemas.openxmlformats.org/officeDocument/2006/relationships/hyperlink" Target="https://pbs.twimg.com/media/DmKcmS_WwAAtXwT.jpg" TargetMode="External"/><Relationship Id="rId279" Type="http://schemas.openxmlformats.org/officeDocument/2006/relationships/hyperlink" Target="http://www.mardixon.com/" TargetMode="External"/><Relationship Id="rId444" Type="http://schemas.openxmlformats.org/officeDocument/2006/relationships/hyperlink" Target="http://linkedin.com/in/elisagravil" TargetMode="External"/><Relationship Id="rId486" Type="http://schemas.openxmlformats.org/officeDocument/2006/relationships/hyperlink" Target="http://www.gla.ac.uk/schools/humanities/staff/mariaeconomou/" TargetMode="External"/><Relationship Id="rId651" Type="http://schemas.openxmlformats.org/officeDocument/2006/relationships/hyperlink" Target="https://pbs.twimg.com/media/Dl3GWwiWsAEI09_.jpg" TargetMode="External"/><Relationship Id="rId43" Type="http://schemas.openxmlformats.org/officeDocument/2006/relationships/hyperlink" Target="https://pbs.twimg.com/media/DmLlfvrX0AEpAZq.jpg" TargetMode="External"/><Relationship Id="rId139" Type="http://schemas.openxmlformats.org/officeDocument/2006/relationships/hyperlink" Target="http://www.preservica.com/" TargetMode="External"/><Relationship Id="rId290" Type="http://schemas.openxmlformats.org/officeDocument/2006/relationships/hyperlink" Target="https://pbs.twimg.com/media/DmK6uSxXgAEHzfL.jpg" TargetMode="External"/><Relationship Id="rId304" Type="http://schemas.openxmlformats.org/officeDocument/2006/relationships/hyperlink" Target="https://pbs.twimg.com/media/DmKu3M2WsAEfuSo.jpg" TargetMode="External"/><Relationship Id="rId346" Type="http://schemas.openxmlformats.org/officeDocument/2006/relationships/hyperlink" Target="https://pbs.twimg.com/media/DmKks0GWsAUzpN7.jpg" TargetMode="External"/><Relationship Id="rId388" Type="http://schemas.openxmlformats.org/officeDocument/2006/relationships/hyperlink" Target="https://pbs.twimg.com/media/DmKd5imWsAA4POC.jpg" TargetMode="External"/><Relationship Id="rId511" Type="http://schemas.openxmlformats.org/officeDocument/2006/relationships/hyperlink" Target="http://elliemiles.wordpress.com/" TargetMode="External"/><Relationship Id="rId553" Type="http://schemas.openxmlformats.org/officeDocument/2006/relationships/hyperlink" Target="http://criticalsteph.wordpress.com/" TargetMode="External"/><Relationship Id="rId609" Type="http://schemas.openxmlformats.org/officeDocument/2006/relationships/hyperlink" Target="https://www.digitalpreservation101.com/" TargetMode="External"/><Relationship Id="rId85" Type="http://schemas.openxmlformats.org/officeDocument/2006/relationships/hyperlink" Target="https://digitaldataucl.wordpress.com/" TargetMode="External"/><Relationship Id="rId150" Type="http://schemas.openxmlformats.org/officeDocument/2006/relationships/hyperlink" Target="https://pbs.twimg.com/media/DmLJ9oTWsAEe2Kh.jpg" TargetMode="External"/><Relationship Id="rId192" Type="http://schemas.openxmlformats.org/officeDocument/2006/relationships/hyperlink" Target="https://www.linkedin.com/in/gabrielle-heffernan-29578032?trk=hp-identity-name" TargetMode="External"/><Relationship Id="rId206" Type="http://schemas.openxmlformats.org/officeDocument/2006/relationships/hyperlink" Target="http://www.dpconline.org/" TargetMode="External"/><Relationship Id="rId413" Type="http://schemas.openxmlformats.org/officeDocument/2006/relationships/hyperlink" Target="http://data.plantsci.cam.ac.uk/herbarium/" TargetMode="External"/><Relationship Id="rId595" Type="http://schemas.openxmlformats.org/officeDocument/2006/relationships/hyperlink" Target="https://digitaldataucl.wordpress.com/" TargetMode="External"/><Relationship Id="rId248" Type="http://schemas.openxmlformats.org/officeDocument/2006/relationships/hyperlink" Target="http://criticalsteph.wordpress.com/" TargetMode="External"/><Relationship Id="rId455" Type="http://schemas.openxmlformats.org/officeDocument/2006/relationships/hyperlink" Target="http://dri.ie/dri-team/natalie-harrower" TargetMode="External"/><Relationship Id="rId497" Type="http://schemas.openxmlformats.org/officeDocument/2006/relationships/hyperlink" Target="http://www.dpconline.org/" TargetMode="External"/><Relationship Id="rId620" Type="http://schemas.openxmlformats.org/officeDocument/2006/relationships/hyperlink" Target="https://research.ng-london.org.uk/" TargetMode="External"/><Relationship Id="rId12" Type="http://schemas.openxmlformats.org/officeDocument/2006/relationships/hyperlink" Target="http://dri.ie/dri-team/natalie-harrower" TargetMode="External"/><Relationship Id="rId108" Type="http://schemas.openxmlformats.org/officeDocument/2006/relationships/hyperlink" Target="https://pbs.twimg.com/media/DmKOyCPW4AAZ-o_.jpg" TargetMode="External"/><Relationship Id="rId315" Type="http://schemas.openxmlformats.org/officeDocument/2006/relationships/hyperlink" Target="https://www.bl.uk/people/experts/caylin-smith" TargetMode="External"/><Relationship Id="rId357" Type="http://schemas.openxmlformats.org/officeDocument/2006/relationships/hyperlink" Target="https://pbs.twimg.com/media/DYMLh3DW4AUDWQZ.jpg" TargetMode="External"/><Relationship Id="rId522" Type="http://schemas.openxmlformats.org/officeDocument/2006/relationships/hyperlink" Target="http://www.dpconline.org/" TargetMode="External"/><Relationship Id="rId54" Type="http://schemas.openxmlformats.org/officeDocument/2006/relationships/hyperlink" Target="https://pbs.twimg.com/media/DmLizfEX4AIm9uW.jpg" TargetMode="External"/><Relationship Id="rId96" Type="http://schemas.openxmlformats.org/officeDocument/2006/relationships/hyperlink" Target="http://www.preservica.com/" TargetMode="External"/><Relationship Id="rId161" Type="http://schemas.openxmlformats.org/officeDocument/2006/relationships/hyperlink" Target="https://pbs.twimg.com/media/DmLJlBmX0AEG768.jpg" TargetMode="External"/><Relationship Id="rId217" Type="http://schemas.openxmlformats.org/officeDocument/2006/relationships/hyperlink" Target="http://www.gla.ac.uk/schools/humanities/staff/mariaeconomou/" TargetMode="External"/><Relationship Id="rId399" Type="http://schemas.openxmlformats.org/officeDocument/2006/relationships/hyperlink" Target="http://www.gla.ac.uk/schools/humanities/staff/mariaeconomou/" TargetMode="External"/><Relationship Id="rId564" Type="http://schemas.openxmlformats.org/officeDocument/2006/relationships/hyperlink" Target="http://thenewartgallerywalsall.org.uk/" TargetMode="External"/><Relationship Id="rId259" Type="http://schemas.openxmlformats.org/officeDocument/2006/relationships/hyperlink" Target="https://pbs.twimg.com/media/DmK-YNyX4AAoi1X.jpg" TargetMode="External"/><Relationship Id="rId424" Type="http://schemas.openxmlformats.org/officeDocument/2006/relationships/hyperlink" Target="https://pbs.twimg.com/media/DmKafLyWsAAQuSu.jpg" TargetMode="External"/><Relationship Id="rId466" Type="http://schemas.openxmlformats.org/officeDocument/2006/relationships/hyperlink" Target="https://pbs.twimg.com/media/DmKW0_aXoAAPIXE.jpg" TargetMode="External"/><Relationship Id="rId631" Type="http://schemas.openxmlformats.org/officeDocument/2006/relationships/hyperlink" Target="https://www.digitalpreservation101.com/" TargetMode="External"/><Relationship Id="rId23" Type="http://schemas.openxmlformats.org/officeDocument/2006/relationships/hyperlink" Target="https://twitter.com/mariaecogl/status/1036647992437161986" TargetMode="External"/><Relationship Id="rId119" Type="http://schemas.openxmlformats.org/officeDocument/2006/relationships/hyperlink" Target="http://www.hlf.org.uk/london" TargetMode="External"/><Relationship Id="rId270" Type="http://schemas.openxmlformats.org/officeDocument/2006/relationships/hyperlink" Target="https://pbs.twimg.com/media/DmK9JqvX4AATQ5k.jpg" TargetMode="External"/><Relationship Id="rId326" Type="http://schemas.openxmlformats.org/officeDocument/2006/relationships/hyperlink" Target="https://pbs.twimg.com/media/DmKoBfbXsAEhrcx.jpg" TargetMode="External"/><Relationship Id="rId533" Type="http://schemas.openxmlformats.org/officeDocument/2006/relationships/hyperlink" Target="https://twitter.com/ArchaeologySoph/status/1036549088198709248" TargetMode="External"/><Relationship Id="rId65" Type="http://schemas.openxmlformats.org/officeDocument/2006/relationships/hyperlink" Target="https://vimeo.com/286346994" TargetMode="External"/><Relationship Id="rId130" Type="http://schemas.openxmlformats.org/officeDocument/2006/relationships/hyperlink" Target="http://www.nationalarchives.ie/" TargetMode="External"/><Relationship Id="rId368" Type="http://schemas.openxmlformats.org/officeDocument/2006/relationships/hyperlink" Target="http://www.gla.ac.uk/schools/humanities/staff/mariaeconomou/" TargetMode="External"/><Relationship Id="rId575" Type="http://schemas.openxmlformats.org/officeDocument/2006/relationships/hyperlink" Target="https://pbs.twimg.com/media/DmKPPCzXgAAJd9o.jpg" TargetMode="External"/><Relationship Id="rId172" Type="http://schemas.openxmlformats.org/officeDocument/2006/relationships/hyperlink" Target="http://www.dpconline.org/" TargetMode="External"/><Relationship Id="rId228" Type="http://schemas.openxmlformats.org/officeDocument/2006/relationships/hyperlink" Target="http://www.fine-art.leeds.ac.uk/people/arran-rees/" TargetMode="External"/><Relationship Id="rId435" Type="http://schemas.openxmlformats.org/officeDocument/2006/relationships/hyperlink" Target="https://pbs.twimg.com/media/DmKYeTvXoAEbtwp.jpg" TargetMode="External"/><Relationship Id="rId477" Type="http://schemas.openxmlformats.org/officeDocument/2006/relationships/hyperlink" Target="http://paulstewart.org.uk/" TargetMode="External"/><Relationship Id="rId600" Type="http://schemas.openxmlformats.org/officeDocument/2006/relationships/hyperlink" Target="https://pbs.twimg.com/media/DmJ-noKXgAAj849.jpg" TargetMode="External"/><Relationship Id="rId642" Type="http://schemas.openxmlformats.org/officeDocument/2006/relationships/hyperlink" Target="https://pbs.twimg.com/media/Dl7RAe2WsAE33-L.jpg" TargetMode="External"/><Relationship Id="rId281" Type="http://schemas.openxmlformats.org/officeDocument/2006/relationships/hyperlink" Target="http://criticalsteph.wordpress.com/" TargetMode="External"/><Relationship Id="rId337" Type="http://schemas.openxmlformats.org/officeDocument/2006/relationships/hyperlink" Target="http://aagm.co.uk/" TargetMode="External"/><Relationship Id="rId502" Type="http://schemas.openxmlformats.org/officeDocument/2006/relationships/hyperlink" Target="http://www.gla.ac.uk/schools/humanities/staff/mariaeconomou/" TargetMode="External"/><Relationship Id="rId34" Type="http://schemas.openxmlformats.org/officeDocument/2006/relationships/hyperlink" Target="https://pbs.twimg.com/media/DmLum_TXcAAglu9.jpg" TargetMode="External"/><Relationship Id="rId76" Type="http://schemas.openxmlformats.org/officeDocument/2006/relationships/hyperlink" Target="http://criticalsteph.wordpress.com/" TargetMode="External"/><Relationship Id="rId141" Type="http://schemas.openxmlformats.org/officeDocument/2006/relationships/hyperlink" Target="http://www.dri.ie/" TargetMode="External"/><Relationship Id="rId379" Type="http://schemas.openxmlformats.org/officeDocument/2006/relationships/hyperlink" Target="https://pbs.twimg.com/media/DmKgozsXcAA2-tM.jpg" TargetMode="External"/><Relationship Id="rId544" Type="http://schemas.openxmlformats.org/officeDocument/2006/relationships/hyperlink" Target="https://pbs.twimg.com/media/DmKQ6rzXsAANw-K.jpg" TargetMode="External"/><Relationship Id="rId586" Type="http://schemas.openxmlformats.org/officeDocument/2006/relationships/hyperlink" Target="https://pbs.twimg.com/media/DmKNsztXcAAwJAG.jpg" TargetMode="External"/><Relationship Id="rId7" Type="http://schemas.openxmlformats.org/officeDocument/2006/relationships/hyperlink" Target="https://digitaldataucl.wordpress.com/" TargetMode="External"/><Relationship Id="rId183" Type="http://schemas.openxmlformats.org/officeDocument/2006/relationships/hyperlink" Target="https://pbs.twimg.com/media/DmLHVoCX0AA85lt.jpg" TargetMode="External"/><Relationship Id="rId239" Type="http://schemas.openxmlformats.org/officeDocument/2006/relationships/hyperlink" Target="http://criticalsteph.wordpress.com/" TargetMode="External"/><Relationship Id="rId390" Type="http://schemas.openxmlformats.org/officeDocument/2006/relationships/hyperlink" Target="https://pbs.twimg.com/media/DmKd3MOXcAA1sTr.jpg" TargetMode="External"/><Relationship Id="rId404" Type="http://schemas.openxmlformats.org/officeDocument/2006/relationships/hyperlink" Target="http://www.dpconline.org/" TargetMode="External"/><Relationship Id="rId446" Type="http://schemas.openxmlformats.org/officeDocument/2006/relationships/hyperlink" Target="https://pbs.twimg.com/media/DmKX1hfW4AAZliF.jpg" TargetMode="External"/><Relationship Id="rId611" Type="http://schemas.openxmlformats.org/officeDocument/2006/relationships/hyperlink" Target="http://www.arkivum.com/" TargetMode="External"/><Relationship Id="rId653" Type="http://schemas.openxmlformats.org/officeDocument/2006/relationships/hyperlink" Target="http://bit.ly/2omn3rs" TargetMode="External"/><Relationship Id="rId250" Type="http://schemas.openxmlformats.org/officeDocument/2006/relationships/hyperlink" Target="https://pbs.twimg.com/media/DmK_CxsXcAAi73n.jpg" TargetMode="External"/><Relationship Id="rId292" Type="http://schemas.openxmlformats.org/officeDocument/2006/relationships/hyperlink" Target="https://pbs.twimg.com/media/DmK5XGCX0AIgyC-.jpg" TargetMode="External"/><Relationship Id="rId306" Type="http://schemas.openxmlformats.org/officeDocument/2006/relationships/hyperlink" Target="http://www.arkivum.com/" TargetMode="External"/><Relationship Id="rId488" Type="http://schemas.openxmlformats.org/officeDocument/2006/relationships/hyperlink" Target="http://www.dpconline.org/" TargetMode="External"/><Relationship Id="rId45" Type="http://schemas.openxmlformats.org/officeDocument/2006/relationships/hyperlink" Target="https://pbs.twimg.com/media/DmLk0lnWwAEaYdN.jpg" TargetMode="External"/><Relationship Id="rId87" Type="http://schemas.openxmlformats.org/officeDocument/2006/relationships/hyperlink" Target="https://twitter.com/fauxtoegrafik/status/1036628173126029314" TargetMode="External"/><Relationship Id="rId110" Type="http://schemas.openxmlformats.org/officeDocument/2006/relationships/hyperlink" Target="https://goo.gl/i87McS" TargetMode="External"/><Relationship Id="rId348" Type="http://schemas.openxmlformats.org/officeDocument/2006/relationships/hyperlink" Target="http://www.dpconline.org/" TargetMode="External"/><Relationship Id="rId513" Type="http://schemas.openxmlformats.org/officeDocument/2006/relationships/hyperlink" Target="http://www.timeimage.org.uk/" TargetMode="External"/><Relationship Id="rId555" Type="http://schemas.openxmlformats.org/officeDocument/2006/relationships/hyperlink" Target="https://pbs.twimg.com/media/DmKQtTRXoAAgnzF.jpg" TargetMode="External"/><Relationship Id="rId597" Type="http://schemas.openxmlformats.org/officeDocument/2006/relationships/hyperlink" Target="http://churchcare.co.uk/" TargetMode="External"/><Relationship Id="rId152" Type="http://schemas.openxmlformats.org/officeDocument/2006/relationships/hyperlink" Target="http://elliemiles.wordpress.com/" TargetMode="External"/><Relationship Id="rId194" Type="http://schemas.openxmlformats.org/officeDocument/2006/relationships/hyperlink" Target="https://pbs.twimg.com/media/DmLGuhSWsAA2_rS.jpg" TargetMode="External"/><Relationship Id="rId208" Type="http://schemas.openxmlformats.org/officeDocument/2006/relationships/hyperlink" Target="http://www.mirrorweb.com/" TargetMode="External"/><Relationship Id="rId415" Type="http://schemas.openxmlformats.org/officeDocument/2006/relationships/hyperlink" Target="https://pbs.twimg.com/media/DmKa0UEXgAAU04e.jpg" TargetMode="External"/><Relationship Id="rId457" Type="http://schemas.openxmlformats.org/officeDocument/2006/relationships/hyperlink" Target="http://www.dpconline.org/" TargetMode="External"/><Relationship Id="rId622" Type="http://schemas.openxmlformats.org/officeDocument/2006/relationships/hyperlink" Target="https://www.digitalpreservation101.com/" TargetMode="External"/><Relationship Id="rId261" Type="http://schemas.openxmlformats.org/officeDocument/2006/relationships/hyperlink" Target="https://twitter.com/arranjrees/status/1036596911988506627" TargetMode="External"/><Relationship Id="rId499" Type="http://schemas.openxmlformats.org/officeDocument/2006/relationships/hyperlink" Target="http://www.dpconline.org/" TargetMode="External"/><Relationship Id="rId14" Type="http://schemas.openxmlformats.org/officeDocument/2006/relationships/hyperlink" Target="http://www.ima-solutions.fr/" TargetMode="External"/><Relationship Id="rId56" Type="http://schemas.openxmlformats.org/officeDocument/2006/relationships/hyperlink" Target="http://www.dpconline.org/" TargetMode="External"/><Relationship Id="rId317" Type="http://schemas.openxmlformats.org/officeDocument/2006/relationships/hyperlink" Target="http://www.fine-art.leeds.ac.uk/people/arran-rees/" TargetMode="External"/><Relationship Id="rId359" Type="http://schemas.openxmlformats.org/officeDocument/2006/relationships/hyperlink" Target="https://pbs.twimg.com/media/DmKjUOgXgAAbubF.jpg" TargetMode="External"/><Relationship Id="rId524" Type="http://schemas.openxmlformats.org/officeDocument/2006/relationships/hyperlink" Target="http://slipireland.com/" TargetMode="External"/><Relationship Id="rId566" Type="http://schemas.openxmlformats.org/officeDocument/2006/relationships/hyperlink" Target="http://elliemiles.wordpress.com/" TargetMode="External"/><Relationship Id="rId98" Type="http://schemas.openxmlformats.org/officeDocument/2006/relationships/hyperlink" Target="http://www.demorgan.org.uk/" TargetMode="External"/><Relationship Id="rId121" Type="http://schemas.openxmlformats.org/officeDocument/2006/relationships/hyperlink" Target="http://www.dpconline.org/" TargetMode="External"/><Relationship Id="rId163" Type="http://schemas.openxmlformats.org/officeDocument/2006/relationships/hyperlink" Target="https://pbs.twimg.com/media/DmLJhTEW4AAWtBs.jpg" TargetMode="External"/><Relationship Id="rId219" Type="http://schemas.openxmlformats.org/officeDocument/2006/relationships/hyperlink" Target="https://pbs.twimg.com/media/DmLEWZuXcAAVBdN.jpg" TargetMode="External"/><Relationship Id="rId370" Type="http://schemas.openxmlformats.org/officeDocument/2006/relationships/hyperlink" Target="http://linkedin.com/in/elisagravil" TargetMode="External"/><Relationship Id="rId426" Type="http://schemas.openxmlformats.org/officeDocument/2006/relationships/hyperlink" Target="http://dri.ie/dri-team/natalie-harrower" TargetMode="External"/><Relationship Id="rId633" Type="http://schemas.openxmlformats.org/officeDocument/2006/relationships/hyperlink" Target="http://www.facetpublishing.co.uk/title.php?id=049320" TargetMode="External"/><Relationship Id="rId230" Type="http://schemas.openxmlformats.org/officeDocument/2006/relationships/hyperlink" Target="https://pbs.twimg.com/media/DmLC3UrW4AES-5q.jpg" TargetMode="External"/><Relationship Id="rId468" Type="http://schemas.openxmlformats.org/officeDocument/2006/relationships/hyperlink" Target="https://ariasmariap.com/" TargetMode="External"/><Relationship Id="rId25" Type="http://schemas.openxmlformats.org/officeDocument/2006/relationships/hyperlink" Target="http://nicolepmeehan.wordpress.com/" TargetMode="External"/><Relationship Id="rId67" Type="http://schemas.openxmlformats.org/officeDocument/2006/relationships/hyperlink" Target="https://pbs.twimg.com/media/DmLe78AWsAElixk.jpg" TargetMode="External"/><Relationship Id="rId272" Type="http://schemas.openxmlformats.org/officeDocument/2006/relationships/hyperlink" Target="http://paulstewart.org.uk/" TargetMode="External"/><Relationship Id="rId328" Type="http://schemas.openxmlformats.org/officeDocument/2006/relationships/hyperlink" Target="http://www.dpconline.org/" TargetMode="External"/><Relationship Id="rId535" Type="http://schemas.openxmlformats.org/officeDocument/2006/relationships/hyperlink" Target="https://pbs.twimg.com/media/DmKRnQMW4AAYqdo.jpg" TargetMode="External"/><Relationship Id="rId577" Type="http://schemas.openxmlformats.org/officeDocument/2006/relationships/hyperlink" Target="https://pbs.twimg.com/media/DmKPP_iX0AA3M7S.jpg" TargetMode="External"/><Relationship Id="rId132" Type="http://schemas.openxmlformats.org/officeDocument/2006/relationships/hyperlink" Target="http://elliemiles.wordpress.com/" TargetMode="External"/><Relationship Id="rId174" Type="http://schemas.openxmlformats.org/officeDocument/2006/relationships/hyperlink" Target="http://www.mardixon.com/" TargetMode="External"/><Relationship Id="rId381" Type="http://schemas.openxmlformats.org/officeDocument/2006/relationships/hyperlink" Target="https://pbs.twimg.com/media/DmKfocEWsAAcmrt.jpg" TargetMode="External"/><Relationship Id="rId602" Type="http://schemas.openxmlformats.org/officeDocument/2006/relationships/hyperlink" Target="http://www.archaeovision.eu/" TargetMode="External"/><Relationship Id="rId241" Type="http://schemas.openxmlformats.org/officeDocument/2006/relationships/hyperlink" Target="http://www.britishmuseum.org/learning/samsung_centre/research.aspx" TargetMode="External"/><Relationship Id="rId437" Type="http://schemas.openxmlformats.org/officeDocument/2006/relationships/hyperlink" Target="https://pbs.twimg.com/media/DmKYVUCX4AER-g-.jpg" TargetMode="External"/><Relationship Id="rId479" Type="http://schemas.openxmlformats.org/officeDocument/2006/relationships/hyperlink" Target="http://eastanglianlife.org.uk/searchforthestars/" TargetMode="External"/><Relationship Id="rId644" Type="http://schemas.openxmlformats.org/officeDocument/2006/relationships/hyperlink" Target="http://www.cosector.com/" TargetMode="External"/><Relationship Id="rId36" Type="http://schemas.openxmlformats.org/officeDocument/2006/relationships/hyperlink" Target="http://linkedin.com/in/elisagravil" TargetMode="External"/><Relationship Id="rId283" Type="http://schemas.openxmlformats.org/officeDocument/2006/relationships/hyperlink" Target="http://criticalsteph.wordpress.com/" TargetMode="External"/><Relationship Id="rId339" Type="http://schemas.openxmlformats.org/officeDocument/2006/relationships/hyperlink" Target="http://www.dpconline.org/" TargetMode="External"/><Relationship Id="rId490" Type="http://schemas.openxmlformats.org/officeDocument/2006/relationships/hyperlink" Target="https://pbs.twimg.com/media/DmKVBuYXgAAbe3v.jpg" TargetMode="External"/><Relationship Id="rId504" Type="http://schemas.openxmlformats.org/officeDocument/2006/relationships/hyperlink" Target="http://www.dpconline.org/" TargetMode="External"/><Relationship Id="rId546" Type="http://schemas.openxmlformats.org/officeDocument/2006/relationships/hyperlink" Target="https://pbs.twimg.com/media/DmKQ59DXgAEJHpE.jpg" TargetMode="External"/><Relationship Id="rId78" Type="http://schemas.openxmlformats.org/officeDocument/2006/relationships/hyperlink" Target="http://www.hi-impact.media/" TargetMode="External"/><Relationship Id="rId101" Type="http://schemas.openxmlformats.org/officeDocument/2006/relationships/hyperlink" Target="https://pbs.twimg.com/media/DmLWsHGWsAAiTq1.jpg" TargetMode="External"/><Relationship Id="rId143" Type="http://schemas.openxmlformats.org/officeDocument/2006/relationships/hyperlink" Target="https://pbs.twimg.com/media/DmLMWKXW4AAQX9V.jpg" TargetMode="External"/><Relationship Id="rId185" Type="http://schemas.openxmlformats.org/officeDocument/2006/relationships/hyperlink" Target="http://www.dpconline.org/" TargetMode="External"/><Relationship Id="rId350" Type="http://schemas.openxmlformats.org/officeDocument/2006/relationships/hyperlink" Target="http://elliemiles.wordpress.com/" TargetMode="External"/><Relationship Id="rId406" Type="http://schemas.openxmlformats.org/officeDocument/2006/relationships/hyperlink" Target="http://ashleymariekelleher.com/" TargetMode="External"/><Relationship Id="rId588" Type="http://schemas.openxmlformats.org/officeDocument/2006/relationships/hyperlink" Target="http://www.penleehouse.org.uk/" TargetMode="External"/><Relationship Id="rId9" Type="http://schemas.openxmlformats.org/officeDocument/2006/relationships/hyperlink" Target="http://www.britishmuseum.org/" TargetMode="External"/><Relationship Id="rId210" Type="http://schemas.openxmlformats.org/officeDocument/2006/relationships/hyperlink" Target="https://www.bl.uk/people/experts/caylin-smith" TargetMode="External"/><Relationship Id="rId392" Type="http://schemas.openxmlformats.org/officeDocument/2006/relationships/hyperlink" Target="https://www.dpconline.org/events/digital-preservation-awards" TargetMode="External"/><Relationship Id="rId448" Type="http://schemas.openxmlformats.org/officeDocument/2006/relationships/hyperlink" Target="https://research.ng-london.org.uk/" TargetMode="External"/><Relationship Id="rId613" Type="http://schemas.openxmlformats.org/officeDocument/2006/relationships/hyperlink" Target="http://www.britishmuseum.org/" TargetMode="External"/><Relationship Id="rId655" Type="http://schemas.openxmlformats.org/officeDocument/2006/relationships/hyperlink" Target="https://dpconline.org/events/co-sponsored-event-all-welcome-registration-essential/bmconference2018" TargetMode="External"/><Relationship Id="rId252" Type="http://schemas.openxmlformats.org/officeDocument/2006/relationships/hyperlink" Target="https://pbs.twimg.com/media/DmK-y-dX4AARBIg.jpg" TargetMode="External"/><Relationship Id="rId294" Type="http://schemas.openxmlformats.org/officeDocument/2006/relationships/hyperlink" Target="http://pic.twitter.com/aO435rOkJW" TargetMode="External"/><Relationship Id="rId308" Type="http://schemas.openxmlformats.org/officeDocument/2006/relationships/hyperlink" Target="http://truseum.co.uk/" TargetMode="External"/><Relationship Id="rId515" Type="http://schemas.openxmlformats.org/officeDocument/2006/relationships/hyperlink" Target="http://linkedin.com/in/elisagravil" TargetMode="External"/><Relationship Id="rId47" Type="http://schemas.openxmlformats.org/officeDocument/2006/relationships/hyperlink" Target="http://www.dpconline.org/" TargetMode="External"/><Relationship Id="rId89" Type="http://schemas.openxmlformats.org/officeDocument/2006/relationships/hyperlink" Target="http://dri.ie/dri-team/natalie-harrower" TargetMode="External"/><Relationship Id="rId112" Type="http://schemas.openxmlformats.org/officeDocument/2006/relationships/hyperlink" Target="http://www.gla.ac.uk/schools/humanities/staff/mariaeconomou/" TargetMode="External"/><Relationship Id="rId154" Type="http://schemas.openxmlformats.org/officeDocument/2006/relationships/hyperlink" Target="https://pbs.twimg.com/media/DmLJ6iTXoAMTSBF.jpg" TargetMode="External"/><Relationship Id="rId361" Type="http://schemas.openxmlformats.org/officeDocument/2006/relationships/hyperlink" Target="http://www.dpconline.org/" TargetMode="External"/><Relationship Id="rId557" Type="http://schemas.openxmlformats.org/officeDocument/2006/relationships/hyperlink" Target="https://pbs.twimg.com/media/DmKQhL7W4AAcgT2.jpg" TargetMode="External"/><Relationship Id="rId599" Type="http://schemas.openxmlformats.org/officeDocument/2006/relationships/hyperlink" Target="https://pbs.twimg.com/media/DmJ-3u0WsAAL5UG.jpg" TargetMode="External"/><Relationship Id="rId196" Type="http://schemas.openxmlformats.org/officeDocument/2006/relationships/hyperlink" Target="https://www.linkedin.com/in/dafjames" TargetMode="External"/><Relationship Id="rId417" Type="http://schemas.openxmlformats.org/officeDocument/2006/relationships/hyperlink" Target="http://dri.ie/dri-team/natalie-harrower" TargetMode="External"/><Relationship Id="rId459" Type="http://schemas.openxmlformats.org/officeDocument/2006/relationships/hyperlink" Target="https://pbs.twimg.com/media/DmKXQtNXcAAmM0B.jpg" TargetMode="External"/><Relationship Id="rId624" Type="http://schemas.openxmlformats.org/officeDocument/2006/relationships/hyperlink" Target="https://pbs.twimg.com/media/DmGzjCVWsAEnDrf.jpg" TargetMode="External"/><Relationship Id="rId16" Type="http://schemas.openxmlformats.org/officeDocument/2006/relationships/hyperlink" Target="https://pbs.twimg.com/media/DmMjngSWsAAXn0B.jpg" TargetMode="External"/><Relationship Id="rId221" Type="http://schemas.openxmlformats.org/officeDocument/2006/relationships/hyperlink" Target="http://www.dpconline.org/" TargetMode="External"/><Relationship Id="rId263" Type="http://schemas.openxmlformats.org/officeDocument/2006/relationships/hyperlink" Target="http://criticalsteph.wordpress.com/" TargetMode="External"/><Relationship Id="rId319" Type="http://schemas.openxmlformats.org/officeDocument/2006/relationships/hyperlink" Target="https://pbs.twimg.com/media/DmKolizW0AAJ0_J.jpg" TargetMode="External"/><Relationship Id="rId470" Type="http://schemas.openxmlformats.org/officeDocument/2006/relationships/hyperlink" Target="http://www.dpconline.org/" TargetMode="External"/><Relationship Id="rId526" Type="http://schemas.openxmlformats.org/officeDocument/2006/relationships/hyperlink" Target="http://criticalsteph.wordpress.com/" TargetMode="External"/><Relationship Id="rId58" Type="http://schemas.openxmlformats.org/officeDocument/2006/relationships/hyperlink" Target="http://criticalsteph.wordpress.com/" TargetMode="External"/><Relationship Id="rId123" Type="http://schemas.openxmlformats.org/officeDocument/2006/relationships/hyperlink" Target="http://www.gla.ac.uk/schools/humanities/staff/mariaeconomou/" TargetMode="External"/><Relationship Id="rId330" Type="http://schemas.openxmlformats.org/officeDocument/2006/relationships/hyperlink" Target="https://www.linkedin.com/in/dafjames" TargetMode="External"/><Relationship Id="rId568" Type="http://schemas.openxmlformats.org/officeDocument/2006/relationships/hyperlink" Target="https://pbs.twimg.com/media/DmKQA1YX4AAM4GK.jpg" TargetMode="External"/><Relationship Id="rId165" Type="http://schemas.openxmlformats.org/officeDocument/2006/relationships/hyperlink" Target="https://vine.co/v/5uX0DeziYv9" TargetMode="External"/><Relationship Id="rId372" Type="http://schemas.openxmlformats.org/officeDocument/2006/relationships/hyperlink" Target="http://www.oonaghmurphy.com/" TargetMode="External"/><Relationship Id="rId428" Type="http://schemas.openxmlformats.org/officeDocument/2006/relationships/hyperlink" Target="https://pbs.twimg.com/media/DmKZ7AeXoAAa7Im.jpg" TargetMode="External"/><Relationship Id="rId635" Type="http://schemas.openxmlformats.org/officeDocument/2006/relationships/hyperlink" Target="https://www.digitalpreservation101.com/programme/" TargetMode="External"/><Relationship Id="rId232" Type="http://schemas.openxmlformats.org/officeDocument/2006/relationships/hyperlink" Target="https://pbs.twimg.com/media/DmLC1zqW4AAKzFD.jpg" TargetMode="External"/><Relationship Id="rId274" Type="http://schemas.openxmlformats.org/officeDocument/2006/relationships/hyperlink" Target="https://pbs.twimg.com/media/DmK8c3GXoAEZAOI.jpg" TargetMode="External"/><Relationship Id="rId481" Type="http://schemas.openxmlformats.org/officeDocument/2006/relationships/hyperlink" Target="http://dri.ie/dri-team/natalie-harrower" TargetMode="External"/><Relationship Id="rId27" Type="http://schemas.openxmlformats.org/officeDocument/2006/relationships/hyperlink" Target="https://pbs.twimg.com/media/DmL3tkxWsAMAQ5g.jpg" TargetMode="External"/><Relationship Id="rId69" Type="http://schemas.openxmlformats.org/officeDocument/2006/relationships/hyperlink" Target="http://www.dpconline.org/" TargetMode="External"/><Relationship Id="rId134" Type="http://schemas.openxmlformats.org/officeDocument/2006/relationships/hyperlink" Target="http://www.mardixon.com/" TargetMode="External"/><Relationship Id="rId537" Type="http://schemas.openxmlformats.org/officeDocument/2006/relationships/hyperlink" Target="http://www.dpconline.org/" TargetMode="External"/><Relationship Id="rId579" Type="http://schemas.openxmlformats.org/officeDocument/2006/relationships/hyperlink" Target="http://www.dpconline.org/" TargetMode="External"/><Relationship Id="rId80" Type="http://schemas.openxmlformats.org/officeDocument/2006/relationships/hyperlink" Target="http://elliemiles.wordpress.com/" TargetMode="External"/><Relationship Id="rId176" Type="http://schemas.openxmlformats.org/officeDocument/2006/relationships/hyperlink" Target="https://pbs.twimg.com/media/DmLIslgW0AERQwr.jpg" TargetMode="External"/><Relationship Id="rId341" Type="http://schemas.openxmlformats.org/officeDocument/2006/relationships/hyperlink" Target="http://www.arkivum.com/" TargetMode="External"/><Relationship Id="rId383" Type="http://schemas.openxmlformats.org/officeDocument/2006/relationships/hyperlink" Target="https://pbs.twimg.com/media/DmKfRtOW0AAJbzs.jpg" TargetMode="External"/><Relationship Id="rId439" Type="http://schemas.openxmlformats.org/officeDocument/2006/relationships/hyperlink" Target="https://twitter.com/HLFLondon/status/1036553403969810432" TargetMode="External"/><Relationship Id="rId590" Type="http://schemas.openxmlformats.org/officeDocument/2006/relationships/hyperlink" Target="https://www.digitalpreservation101.com/" TargetMode="External"/><Relationship Id="rId604" Type="http://schemas.openxmlformats.org/officeDocument/2006/relationships/hyperlink" Target="https://www.linkedin.com/in/lorraine-murray-6a332a68/" TargetMode="External"/><Relationship Id="rId646" Type="http://schemas.openxmlformats.org/officeDocument/2006/relationships/hyperlink" Target="http://www.dpconline.org/" TargetMode="External"/><Relationship Id="rId201" Type="http://schemas.openxmlformats.org/officeDocument/2006/relationships/hyperlink" Target="https://pbs.twimg.com/media/DmK7lbGWwAAP3aC.jpg" TargetMode="External"/><Relationship Id="rId243" Type="http://schemas.openxmlformats.org/officeDocument/2006/relationships/hyperlink" Target="http://slipireland.com/" TargetMode="External"/><Relationship Id="rId285" Type="http://schemas.openxmlformats.org/officeDocument/2006/relationships/hyperlink" Target="http://southamericando.wordpress.com/" TargetMode="External"/><Relationship Id="rId450" Type="http://schemas.openxmlformats.org/officeDocument/2006/relationships/hyperlink" Target="http://www.dpconline.org/" TargetMode="External"/><Relationship Id="rId506" Type="http://schemas.openxmlformats.org/officeDocument/2006/relationships/hyperlink" Target="http://www.hlf.org.uk/london" TargetMode="External"/><Relationship Id="rId38" Type="http://schemas.openxmlformats.org/officeDocument/2006/relationships/hyperlink" Target="https://pbs.twimg.com/media/DmLmAeDWsAEfWsw.jpg" TargetMode="External"/><Relationship Id="rId103" Type="http://schemas.openxmlformats.org/officeDocument/2006/relationships/hyperlink" Target="https://pbs.twimg.com/media/DmLVnFBWwAESvGl.jpg" TargetMode="External"/><Relationship Id="rId310" Type="http://schemas.openxmlformats.org/officeDocument/2006/relationships/hyperlink" Target="https://www.linkedin.com/in/gabrielle-heffernan-29578032?trk=hp-identity-name" TargetMode="External"/><Relationship Id="rId492" Type="http://schemas.openxmlformats.org/officeDocument/2006/relationships/hyperlink" Target="http://www.fine-art.leeds.ac.uk/people/arran-rees/" TargetMode="External"/><Relationship Id="rId548" Type="http://schemas.openxmlformats.org/officeDocument/2006/relationships/hyperlink" Target="https://pbs.twimg.com/media/DmKQ4CHX4AAUvDn.jpg" TargetMode="External"/><Relationship Id="rId91" Type="http://schemas.openxmlformats.org/officeDocument/2006/relationships/hyperlink" Target="http://nicolepmeehan.wordpress.com/" TargetMode="External"/><Relationship Id="rId145" Type="http://schemas.openxmlformats.org/officeDocument/2006/relationships/hyperlink" Target="http://www.dpconline.org/" TargetMode="External"/><Relationship Id="rId187" Type="http://schemas.openxmlformats.org/officeDocument/2006/relationships/hyperlink" Target="http://www.dpconline.org/" TargetMode="External"/><Relationship Id="rId352" Type="http://schemas.openxmlformats.org/officeDocument/2006/relationships/hyperlink" Target="https://pbs.twimg.com/media/DmKj3M0WwAEsUQC.jpg" TargetMode="External"/><Relationship Id="rId394" Type="http://schemas.openxmlformats.org/officeDocument/2006/relationships/hyperlink" Target="http://www.hlf.org.uk/london" TargetMode="External"/><Relationship Id="rId408" Type="http://schemas.openxmlformats.org/officeDocument/2006/relationships/hyperlink" Target="https://twitter.com/ellie__miles/status/1036561396719386625" TargetMode="External"/><Relationship Id="rId615" Type="http://schemas.openxmlformats.org/officeDocument/2006/relationships/hyperlink" Target="https://www.digitalpreservation101.com/" TargetMode="External"/><Relationship Id="rId212" Type="http://schemas.openxmlformats.org/officeDocument/2006/relationships/hyperlink" Target="http://www.dpconline.org/" TargetMode="External"/><Relationship Id="rId254" Type="http://schemas.openxmlformats.org/officeDocument/2006/relationships/hyperlink" Target="http://www.dpconline.org/" TargetMode="External"/><Relationship Id="rId657" Type="http://schemas.openxmlformats.org/officeDocument/2006/relationships/hyperlink" Target="https://www.digitalpreservation101.com/" TargetMode="External"/><Relationship Id="rId49" Type="http://schemas.openxmlformats.org/officeDocument/2006/relationships/hyperlink" Target="http://timmyatt.wordpress.com/" TargetMode="External"/><Relationship Id="rId114" Type="http://schemas.openxmlformats.org/officeDocument/2006/relationships/hyperlink" Target="http://www.dri.ie/" TargetMode="External"/><Relationship Id="rId296" Type="http://schemas.openxmlformats.org/officeDocument/2006/relationships/hyperlink" Target="https://pbs.twimg.com/media/DmK3JFqX4AACQXr.jpg" TargetMode="External"/><Relationship Id="rId461" Type="http://schemas.openxmlformats.org/officeDocument/2006/relationships/hyperlink" Target="http://criticalsteph.wordpress.com/" TargetMode="External"/><Relationship Id="rId517" Type="http://schemas.openxmlformats.org/officeDocument/2006/relationships/hyperlink" Target="http://www.dpconline.org/" TargetMode="External"/><Relationship Id="rId559" Type="http://schemas.openxmlformats.org/officeDocument/2006/relationships/hyperlink" Target="http://linkedin.com/in/elisagravil" TargetMode="External"/><Relationship Id="rId60" Type="http://schemas.openxmlformats.org/officeDocument/2006/relationships/hyperlink" Target="https://digitaldataucl.wordpress.com/" TargetMode="External"/><Relationship Id="rId81" Type="http://schemas.openxmlformats.org/officeDocument/2006/relationships/hyperlink" Target="http://pic.twitter.com/BhygxjDNzg" TargetMode="External"/><Relationship Id="rId135" Type="http://schemas.openxmlformats.org/officeDocument/2006/relationships/hyperlink" Target="https://pbs.twimg.com/media/DmLQuMGWwAAmRqi.jpg" TargetMode="External"/><Relationship Id="rId156" Type="http://schemas.openxmlformats.org/officeDocument/2006/relationships/hyperlink" Target="http://www.dri.ie/" TargetMode="External"/><Relationship Id="rId177" Type="http://schemas.openxmlformats.org/officeDocument/2006/relationships/hyperlink" Target="https://lauramarysellers.wordpress.com/" TargetMode="External"/><Relationship Id="rId198" Type="http://schemas.openxmlformats.org/officeDocument/2006/relationships/hyperlink" Target="http://www.mardixon.com/" TargetMode="External"/><Relationship Id="rId321" Type="http://schemas.openxmlformats.org/officeDocument/2006/relationships/hyperlink" Target="https://www.linkedin.com/in/dafjames" TargetMode="External"/><Relationship Id="rId342" Type="http://schemas.openxmlformats.org/officeDocument/2006/relationships/hyperlink" Target="http://criticalsteph.wordpress.com/" TargetMode="External"/><Relationship Id="rId363" Type="http://schemas.openxmlformats.org/officeDocument/2006/relationships/hyperlink" Target="http://www.fine-art.leeds.ac.uk/people/arran-rees/" TargetMode="External"/><Relationship Id="rId384" Type="http://schemas.openxmlformats.org/officeDocument/2006/relationships/hyperlink" Target="https://www.dpconline.org/blog/on-hearing-the-learned-astronomer" TargetMode="External"/><Relationship Id="rId419" Type="http://schemas.openxmlformats.org/officeDocument/2006/relationships/hyperlink" Target="http://www.dpconline.org/" TargetMode="External"/><Relationship Id="rId570" Type="http://schemas.openxmlformats.org/officeDocument/2006/relationships/hyperlink" Target="https://pbs.twimg.com/media/DmKP5V6W4AU9-db.jpg" TargetMode="External"/><Relationship Id="rId591" Type="http://schemas.openxmlformats.org/officeDocument/2006/relationships/hyperlink" Target="https://pbs.twimg.com/media/DmKJfeJUwAA5bOu.jpg" TargetMode="External"/><Relationship Id="rId605" Type="http://schemas.openxmlformats.org/officeDocument/2006/relationships/hyperlink" Target="http://beautifullybony.wordpress.com/" TargetMode="External"/><Relationship Id="rId626" Type="http://schemas.openxmlformats.org/officeDocument/2006/relationships/hyperlink" Target="http://www.hi-impact.media/" TargetMode="External"/><Relationship Id="rId202" Type="http://schemas.openxmlformats.org/officeDocument/2006/relationships/hyperlink" Target="http://slipireland.com/" TargetMode="External"/><Relationship Id="rId223" Type="http://schemas.openxmlformats.org/officeDocument/2006/relationships/hyperlink" Target="https://pbs.twimg.com/media/DmLD3INXoAAWPHN.jpg" TargetMode="External"/><Relationship Id="rId244" Type="http://schemas.openxmlformats.org/officeDocument/2006/relationships/hyperlink" Target="https://pbs.twimg.com/media/DmLAsM0XsAADFyd.jpg" TargetMode="External"/><Relationship Id="rId430" Type="http://schemas.openxmlformats.org/officeDocument/2006/relationships/hyperlink" Target="http://www.dpconline.org/" TargetMode="External"/><Relationship Id="rId647" Type="http://schemas.openxmlformats.org/officeDocument/2006/relationships/hyperlink" Target="https://britishlibrary.recruitment.northgatearinso.com/birl/pages/vacancy.jsf?latest=01001612" TargetMode="External"/><Relationship Id="rId18" Type="http://schemas.openxmlformats.org/officeDocument/2006/relationships/hyperlink" Target="http://pic.twitter.com/U638zNSXXs" TargetMode="External"/><Relationship Id="rId39" Type="http://schemas.openxmlformats.org/officeDocument/2006/relationships/hyperlink" Target="http://slipireland.com/" TargetMode="External"/><Relationship Id="rId265" Type="http://schemas.openxmlformats.org/officeDocument/2006/relationships/hyperlink" Target="https://pbs.twimg.com/media/DmK7lbGWwAAP3aC.jpg" TargetMode="External"/><Relationship Id="rId286" Type="http://schemas.openxmlformats.org/officeDocument/2006/relationships/hyperlink" Target="http://www.dpconline.org/" TargetMode="External"/><Relationship Id="rId451" Type="http://schemas.openxmlformats.org/officeDocument/2006/relationships/hyperlink" Target="https://pbs.twimg.com/media/DmKXxCOWwAE6pku.jpg" TargetMode="External"/><Relationship Id="rId472" Type="http://schemas.openxmlformats.org/officeDocument/2006/relationships/hyperlink" Target="http://www.zenlan.com/collage" TargetMode="External"/><Relationship Id="rId493" Type="http://schemas.openxmlformats.org/officeDocument/2006/relationships/hyperlink" Target="http://dri.ie/dri-team/natalie-harrower" TargetMode="External"/><Relationship Id="rId507" Type="http://schemas.openxmlformats.org/officeDocument/2006/relationships/hyperlink" Target="https://pbs.twimg.com/media/DmKTns9XsAA0K4r.jpg" TargetMode="External"/><Relationship Id="rId528" Type="http://schemas.openxmlformats.org/officeDocument/2006/relationships/hyperlink" Target="https://bit.ly/2MKJchS" TargetMode="External"/><Relationship Id="rId549" Type="http://schemas.openxmlformats.org/officeDocument/2006/relationships/hyperlink" Target="http://www.dpconline.org/" TargetMode="External"/><Relationship Id="rId50" Type="http://schemas.openxmlformats.org/officeDocument/2006/relationships/hyperlink" Target="http://www.dpconline.org/" TargetMode="External"/><Relationship Id="rId104" Type="http://schemas.openxmlformats.org/officeDocument/2006/relationships/hyperlink" Target="http://nicolepmeehan.wordpress.com/" TargetMode="External"/><Relationship Id="rId125" Type="http://schemas.openxmlformats.org/officeDocument/2006/relationships/hyperlink" Target="https://pbs.twimg.com/media/DmLR8hCWsAEMiYL.jpg" TargetMode="External"/><Relationship Id="rId146" Type="http://schemas.openxmlformats.org/officeDocument/2006/relationships/hyperlink" Target="https://pbs.twimg.com/media/DmLKmbbWsAYq0bt.jpg" TargetMode="External"/><Relationship Id="rId167" Type="http://schemas.openxmlformats.org/officeDocument/2006/relationships/hyperlink" Target="https://pbs.twimg.com/media/DmLJOUtXgAAs5r1.jpg" TargetMode="External"/><Relationship Id="rId188" Type="http://schemas.openxmlformats.org/officeDocument/2006/relationships/hyperlink" Target="https://pbs.twimg.com/media/DmLHIb6XoAAMPUb.jpg" TargetMode="External"/><Relationship Id="rId311" Type="http://schemas.openxmlformats.org/officeDocument/2006/relationships/hyperlink" Target="https://pbs.twimg.com/media/DmKsYIYXgAA6rbE.jpg" TargetMode="External"/><Relationship Id="rId332" Type="http://schemas.openxmlformats.org/officeDocument/2006/relationships/hyperlink" Target="https://pbs.twimg.com/media/DmKmthcXcAAvBQa.jpg" TargetMode="External"/><Relationship Id="rId353" Type="http://schemas.openxmlformats.org/officeDocument/2006/relationships/hyperlink" Target="https://www.bl.uk/people/experts/caylin-smith" TargetMode="External"/><Relationship Id="rId374" Type="http://schemas.openxmlformats.org/officeDocument/2006/relationships/hyperlink" Target="https://pbs.twimg.com/media/DmKg-OWWsAAXBmX.jpg" TargetMode="External"/><Relationship Id="rId395" Type="http://schemas.openxmlformats.org/officeDocument/2006/relationships/hyperlink" Target="http://www.arkivum.com/" TargetMode="External"/><Relationship Id="rId409" Type="http://schemas.openxmlformats.org/officeDocument/2006/relationships/hyperlink" Target="http://elliemiles.wordpress.com/" TargetMode="External"/><Relationship Id="rId560" Type="http://schemas.openxmlformats.org/officeDocument/2006/relationships/hyperlink" Target="http://www.gla.ac.uk/schools/humanities/staff/mariaeconomou/" TargetMode="External"/><Relationship Id="rId581" Type="http://schemas.openxmlformats.org/officeDocument/2006/relationships/hyperlink" Target="http://paulstewart.org.uk/" TargetMode="External"/><Relationship Id="rId71" Type="http://schemas.openxmlformats.org/officeDocument/2006/relationships/hyperlink" Target="http://ashleymariekelleher.com/" TargetMode="External"/><Relationship Id="rId92" Type="http://schemas.openxmlformats.org/officeDocument/2006/relationships/hyperlink" Target="https://pbs.twimg.com/media/DmLYcxfWsAEVDsT.jpg" TargetMode="External"/><Relationship Id="rId213" Type="http://schemas.openxmlformats.org/officeDocument/2006/relationships/hyperlink" Target="https://pbs.twimg.com/media/DmLEs2UW0AUP480.jpg" TargetMode="External"/><Relationship Id="rId234" Type="http://schemas.openxmlformats.org/officeDocument/2006/relationships/hyperlink" Target="https://research.ng-london.org.uk/" TargetMode="External"/><Relationship Id="rId420" Type="http://schemas.openxmlformats.org/officeDocument/2006/relationships/hyperlink" Target="https://pbs.twimg.com/media/DmKazW9XcAADSxu.jpg" TargetMode="External"/><Relationship Id="rId616" Type="http://schemas.openxmlformats.org/officeDocument/2006/relationships/hyperlink" Target="https://orcid.org/0000-0002-3275-8612" TargetMode="External"/><Relationship Id="rId637" Type="http://schemas.openxmlformats.org/officeDocument/2006/relationships/hyperlink" Target="https://ariasmariap.com/" TargetMode="External"/><Relationship Id="rId2" Type="http://schemas.openxmlformats.org/officeDocument/2006/relationships/hyperlink" Target="http://bit.ly/2sJgjYF" TargetMode="External"/><Relationship Id="rId29" Type="http://schemas.openxmlformats.org/officeDocument/2006/relationships/hyperlink" Target="https://pbs.twimg.com/media/DmL3JkrX0AIyPDy.jpg" TargetMode="External"/><Relationship Id="rId255" Type="http://schemas.openxmlformats.org/officeDocument/2006/relationships/hyperlink" Target="http://www.mardixon.com/" TargetMode="External"/><Relationship Id="rId276" Type="http://schemas.openxmlformats.org/officeDocument/2006/relationships/hyperlink" Target="https://pbs.twimg.com/media/DmK8SWuW0AAo0N0.jpg" TargetMode="External"/><Relationship Id="rId297" Type="http://schemas.openxmlformats.org/officeDocument/2006/relationships/hyperlink" Target="http://www.mikejonesonline.com/" TargetMode="External"/><Relationship Id="rId441" Type="http://schemas.openxmlformats.org/officeDocument/2006/relationships/hyperlink" Target="https://about.me/jfallon" TargetMode="External"/><Relationship Id="rId462" Type="http://schemas.openxmlformats.org/officeDocument/2006/relationships/hyperlink" Target="http://www.arkivum.com/" TargetMode="External"/><Relationship Id="rId483" Type="http://schemas.openxmlformats.org/officeDocument/2006/relationships/hyperlink" Target="http://www.amandamking.com/" TargetMode="External"/><Relationship Id="rId518" Type="http://schemas.openxmlformats.org/officeDocument/2006/relationships/hyperlink" Target="https://pbs.twimg.com/media/DmKTDzWX0AAYfP3.jpg" TargetMode="External"/><Relationship Id="rId539" Type="http://schemas.openxmlformats.org/officeDocument/2006/relationships/hyperlink" Target="http://criticalsteph.wordpress.com/" TargetMode="External"/><Relationship Id="rId40" Type="http://schemas.openxmlformats.org/officeDocument/2006/relationships/hyperlink" Target="https://pbs.twimg.com/media/DmLl4xAXgAA6EVD.jpg" TargetMode="External"/><Relationship Id="rId115" Type="http://schemas.openxmlformats.org/officeDocument/2006/relationships/hyperlink" Target="http://www.dpconline.org/" TargetMode="External"/><Relationship Id="rId136" Type="http://schemas.openxmlformats.org/officeDocument/2006/relationships/hyperlink" Target="http://www.mardixon.com/" TargetMode="External"/><Relationship Id="rId157" Type="http://schemas.openxmlformats.org/officeDocument/2006/relationships/hyperlink" Target="https://pbs.twimg.com/media/DmLJ2aVX0AEFs3j.jpg" TargetMode="External"/><Relationship Id="rId178" Type="http://schemas.openxmlformats.org/officeDocument/2006/relationships/hyperlink" Target="https://twitter.com/CoSector_UoL/status/1036604630468386817" TargetMode="External"/><Relationship Id="rId301" Type="http://schemas.openxmlformats.org/officeDocument/2006/relationships/hyperlink" Target="https://pbs.twimg.com/media/DmKvUZOWsAEOJNB.jpg" TargetMode="External"/><Relationship Id="rId322" Type="http://schemas.openxmlformats.org/officeDocument/2006/relationships/hyperlink" Target="http://criticalsteph.wordpress.com/" TargetMode="External"/><Relationship Id="rId343" Type="http://schemas.openxmlformats.org/officeDocument/2006/relationships/hyperlink" Target="https://pbs.twimg.com/media/DmKk4ahWsAA0Y1c.jpg" TargetMode="External"/><Relationship Id="rId364" Type="http://schemas.openxmlformats.org/officeDocument/2006/relationships/hyperlink" Target="https://pbs.twimg.com/media/DmKisgrXgAAteAF.jpg" TargetMode="External"/><Relationship Id="rId550" Type="http://schemas.openxmlformats.org/officeDocument/2006/relationships/hyperlink" Target="https://pbs.twimg.com/media/DmKQ0sxXgAAaG9L.jpg" TargetMode="External"/><Relationship Id="rId61" Type="http://schemas.openxmlformats.org/officeDocument/2006/relationships/hyperlink" Target="https://pbs.twimg.com/media/DmLhearXoAA_P1l.jpg" TargetMode="External"/><Relationship Id="rId82" Type="http://schemas.openxmlformats.org/officeDocument/2006/relationships/hyperlink" Target="https://ariasmariap.com/" TargetMode="External"/><Relationship Id="rId199" Type="http://schemas.openxmlformats.org/officeDocument/2006/relationships/hyperlink" Target="http://www.dpconline.org/" TargetMode="External"/><Relationship Id="rId203" Type="http://schemas.openxmlformats.org/officeDocument/2006/relationships/hyperlink" Target="http://www.dpconline.org/" TargetMode="External"/><Relationship Id="rId385" Type="http://schemas.openxmlformats.org/officeDocument/2006/relationships/hyperlink" Target="http://www.dpconline.org/" TargetMode="External"/><Relationship Id="rId571" Type="http://schemas.openxmlformats.org/officeDocument/2006/relationships/hyperlink" Target="http://digitalpreservation101.com/" TargetMode="External"/><Relationship Id="rId592" Type="http://schemas.openxmlformats.org/officeDocument/2006/relationships/hyperlink" Target="http://www.dri.ie/" TargetMode="External"/><Relationship Id="rId606" Type="http://schemas.openxmlformats.org/officeDocument/2006/relationships/hyperlink" Target="http://southamericando.wordpress.com/" TargetMode="External"/><Relationship Id="rId627" Type="http://schemas.openxmlformats.org/officeDocument/2006/relationships/hyperlink" Target="https://www.digitalpreservation101.com/" TargetMode="External"/><Relationship Id="rId648" Type="http://schemas.openxmlformats.org/officeDocument/2006/relationships/hyperlink" Target="https://www.bl.uk/people/experts/caylin-smith" TargetMode="External"/><Relationship Id="rId19" Type="http://schemas.openxmlformats.org/officeDocument/2006/relationships/hyperlink" Target="https://ariasmariap.com/" TargetMode="External"/><Relationship Id="rId224" Type="http://schemas.openxmlformats.org/officeDocument/2006/relationships/hyperlink" Target="http://www.dpconline.org/" TargetMode="External"/><Relationship Id="rId245" Type="http://schemas.openxmlformats.org/officeDocument/2006/relationships/hyperlink" Target="http://criticalsteph.wordpress.com/" TargetMode="External"/><Relationship Id="rId266" Type="http://schemas.openxmlformats.org/officeDocument/2006/relationships/hyperlink" Target="http://www.mardixon.com/" TargetMode="External"/><Relationship Id="rId287" Type="http://schemas.openxmlformats.org/officeDocument/2006/relationships/hyperlink" Target="https://pbs.twimg.com/media/DmK7YxIXoAAVsPK.jpg" TargetMode="External"/><Relationship Id="rId410" Type="http://schemas.openxmlformats.org/officeDocument/2006/relationships/hyperlink" Target="http://www.dpconline.org/" TargetMode="External"/><Relationship Id="rId431" Type="http://schemas.openxmlformats.org/officeDocument/2006/relationships/hyperlink" Target="https://simon-tanner.blogspot.com/2018/09/MADM2018.html" TargetMode="External"/><Relationship Id="rId452" Type="http://schemas.openxmlformats.org/officeDocument/2006/relationships/hyperlink" Target="https://pbs.twimg.com/media/DmKXng8WwAAVbIJ.jpg" TargetMode="External"/><Relationship Id="rId473" Type="http://schemas.openxmlformats.org/officeDocument/2006/relationships/hyperlink" Target="http://www.dpconline.org/" TargetMode="External"/><Relationship Id="rId494" Type="http://schemas.openxmlformats.org/officeDocument/2006/relationships/hyperlink" Target="http://criticalsteph.wordpress.com/" TargetMode="External"/><Relationship Id="rId508" Type="http://schemas.openxmlformats.org/officeDocument/2006/relationships/hyperlink" Target="http://criticalsteph.wordpress.com/" TargetMode="External"/><Relationship Id="rId529" Type="http://schemas.openxmlformats.org/officeDocument/2006/relationships/hyperlink" Target="https://pbs.twimg.com/media/DmKRyY_W0AEeXxo.jpg" TargetMode="External"/><Relationship Id="rId30" Type="http://schemas.openxmlformats.org/officeDocument/2006/relationships/hyperlink" Target="http://www.gla.ac.uk/schools/humanities/research/hatiiresearch/" TargetMode="External"/><Relationship Id="rId105" Type="http://schemas.openxmlformats.org/officeDocument/2006/relationships/hyperlink" Target="http://www.mardixon.com/" TargetMode="External"/><Relationship Id="rId126" Type="http://schemas.openxmlformats.org/officeDocument/2006/relationships/hyperlink" Target="http://www.cosector.com/" TargetMode="External"/><Relationship Id="rId147" Type="http://schemas.openxmlformats.org/officeDocument/2006/relationships/hyperlink" Target="http://ashleymariekelleher.com/" TargetMode="External"/><Relationship Id="rId168" Type="http://schemas.openxmlformats.org/officeDocument/2006/relationships/hyperlink" Target="https://www.linkedin.com/in/gabrielle-heffernan-29578032?trk=hp-identity-name" TargetMode="External"/><Relationship Id="rId312" Type="http://schemas.openxmlformats.org/officeDocument/2006/relationships/hyperlink" Target="https://pbs.twimg.com/media/DmKrpuPW4AAr0jB.jpg" TargetMode="External"/><Relationship Id="rId333" Type="http://schemas.openxmlformats.org/officeDocument/2006/relationships/hyperlink" Target="http://avcf.co.uk/" TargetMode="External"/><Relationship Id="rId354" Type="http://schemas.openxmlformats.org/officeDocument/2006/relationships/hyperlink" Target="https://pbs.twimg.com/media/DmKjxg1XcAAU51i.jpg" TargetMode="External"/><Relationship Id="rId540" Type="http://schemas.openxmlformats.org/officeDocument/2006/relationships/hyperlink" Target="https://pbs.twimg.com/media/DmKRbmfXcAABa_s.jpg" TargetMode="External"/><Relationship Id="rId51" Type="http://schemas.openxmlformats.org/officeDocument/2006/relationships/hyperlink" Target="http://www.dpconline.org/" TargetMode="External"/><Relationship Id="rId72" Type="http://schemas.openxmlformats.org/officeDocument/2006/relationships/hyperlink" Target="http://criticalsteph.wordpress.com/" TargetMode="External"/><Relationship Id="rId93" Type="http://schemas.openxmlformats.org/officeDocument/2006/relationships/hyperlink" Target="https://pbs.twimg.com/media/DmLYTeGX4AUfv6o.jpg" TargetMode="External"/><Relationship Id="rId189" Type="http://schemas.openxmlformats.org/officeDocument/2006/relationships/hyperlink" Target="https://pbs.twimg.com/media/DmLHGOfX0AI_3Kv.jpg" TargetMode="External"/><Relationship Id="rId375" Type="http://schemas.openxmlformats.org/officeDocument/2006/relationships/hyperlink" Target="https://stonesofdublin.wordpress.com/" TargetMode="External"/><Relationship Id="rId396" Type="http://schemas.openxmlformats.org/officeDocument/2006/relationships/hyperlink" Target="http://dri.ie/dri-team/natalie-harrower" TargetMode="External"/><Relationship Id="rId561" Type="http://schemas.openxmlformats.org/officeDocument/2006/relationships/hyperlink" Target="https://pbs.twimg.com/media/DmKQKlEX0AALXQj.jpg" TargetMode="External"/><Relationship Id="rId582" Type="http://schemas.openxmlformats.org/officeDocument/2006/relationships/hyperlink" Target="https://pbs.twimg.com/media/DmKOXxcXsAAo1s1.jpg" TargetMode="External"/><Relationship Id="rId617" Type="http://schemas.openxmlformats.org/officeDocument/2006/relationships/hyperlink" Target="https://www.digitalpreservation101.com/" TargetMode="External"/><Relationship Id="rId638" Type="http://schemas.openxmlformats.org/officeDocument/2006/relationships/hyperlink" Target="https://www.digitalpreservation101.com/" TargetMode="External"/><Relationship Id="rId3" Type="http://schemas.openxmlformats.org/officeDocument/2006/relationships/hyperlink" Target="https://pbs.twimg.com/media/DmURnvrX4AI3_y3.jpg" TargetMode="External"/><Relationship Id="rId214" Type="http://schemas.openxmlformats.org/officeDocument/2006/relationships/hyperlink" Target="https://www.bl.uk/people/experts/caylin-smith" TargetMode="External"/><Relationship Id="rId235" Type="http://schemas.openxmlformats.org/officeDocument/2006/relationships/hyperlink" Target="https://pbs.twimg.com/media/DmLCbt0XcAEjFDC.jpg" TargetMode="External"/><Relationship Id="rId256" Type="http://schemas.openxmlformats.org/officeDocument/2006/relationships/hyperlink" Target="http://criticalsteph.wordpress.com/" TargetMode="External"/><Relationship Id="rId277" Type="http://schemas.openxmlformats.org/officeDocument/2006/relationships/hyperlink" Target="http://www.mardixon.com/" TargetMode="External"/><Relationship Id="rId298" Type="http://schemas.openxmlformats.org/officeDocument/2006/relationships/hyperlink" Target="https://pbs.twimg.com/media/DmK1W8LXcAAf3wN.jpg" TargetMode="External"/><Relationship Id="rId400" Type="http://schemas.openxmlformats.org/officeDocument/2006/relationships/hyperlink" Target="https://www.dpconline.org/our-work/bit-list" TargetMode="External"/><Relationship Id="rId421" Type="http://schemas.openxmlformats.org/officeDocument/2006/relationships/hyperlink" Target="http://www.oonaghmurphy.com/" TargetMode="External"/><Relationship Id="rId442" Type="http://schemas.openxmlformats.org/officeDocument/2006/relationships/hyperlink" Target="http://ashleymariekelleher.com/" TargetMode="External"/><Relationship Id="rId463" Type="http://schemas.openxmlformats.org/officeDocument/2006/relationships/hyperlink" Target="https://www.dri.ie/why-storage-not-preservation-conversation-surrounded-conservation" TargetMode="External"/><Relationship Id="rId484" Type="http://schemas.openxmlformats.org/officeDocument/2006/relationships/hyperlink" Target="http://www.dpconline.org/" TargetMode="External"/><Relationship Id="rId519" Type="http://schemas.openxmlformats.org/officeDocument/2006/relationships/hyperlink" Target="https://digitaldataucl.wordpress.com/" TargetMode="External"/><Relationship Id="rId116" Type="http://schemas.openxmlformats.org/officeDocument/2006/relationships/hyperlink" Target="https://pbs.twimg.com/media/DmLT6AhW0AAMB7v.jpg" TargetMode="External"/><Relationship Id="rId137" Type="http://schemas.openxmlformats.org/officeDocument/2006/relationships/hyperlink" Target="http://preservationguide.co.uk/" TargetMode="External"/><Relationship Id="rId158" Type="http://schemas.openxmlformats.org/officeDocument/2006/relationships/hyperlink" Target="https://pbs.twimg.com/media/DmLJw4sXgAA25DK.jpg" TargetMode="External"/><Relationship Id="rId302" Type="http://schemas.openxmlformats.org/officeDocument/2006/relationships/hyperlink" Target="https://www.linkedin.com/in/sophiemisson" TargetMode="External"/><Relationship Id="rId323" Type="http://schemas.openxmlformats.org/officeDocument/2006/relationships/hyperlink" Target="https://pbs.twimg.com/media/DmKoYWYXgAIrSjj.jpg" TargetMode="External"/><Relationship Id="rId344" Type="http://schemas.openxmlformats.org/officeDocument/2006/relationships/hyperlink" Target="http://www.dri.ie/" TargetMode="External"/><Relationship Id="rId530" Type="http://schemas.openxmlformats.org/officeDocument/2006/relationships/hyperlink" Target="http://www.whiteoctober.co.uk/" TargetMode="External"/><Relationship Id="rId20" Type="http://schemas.openxmlformats.org/officeDocument/2006/relationships/hyperlink" Target="http://sciencegossip.org/" TargetMode="External"/><Relationship Id="rId41" Type="http://schemas.openxmlformats.org/officeDocument/2006/relationships/hyperlink" Target="http://slipireland.com/" TargetMode="External"/><Relationship Id="rId62" Type="http://schemas.openxmlformats.org/officeDocument/2006/relationships/hyperlink" Target="http://www.dpconline.org/" TargetMode="External"/><Relationship Id="rId83" Type="http://schemas.openxmlformats.org/officeDocument/2006/relationships/hyperlink" Target="https://pbs.twimg.com/media/DmLbIACX4AEgARm.jpg" TargetMode="External"/><Relationship Id="rId179" Type="http://schemas.openxmlformats.org/officeDocument/2006/relationships/hyperlink" Target="https://pbs.twimg.com/media/DmLCY9tWsAUI1Hg.jpg" TargetMode="External"/><Relationship Id="rId365" Type="http://schemas.openxmlformats.org/officeDocument/2006/relationships/hyperlink" Target="http://www.hlf.org.uk/london" TargetMode="External"/><Relationship Id="rId386" Type="http://schemas.openxmlformats.org/officeDocument/2006/relationships/hyperlink" Target="https://pbs.twimg.com/media/DmKd8yEXoAMQvFl.jpg" TargetMode="External"/><Relationship Id="rId551" Type="http://schemas.openxmlformats.org/officeDocument/2006/relationships/hyperlink" Target="http://truseum.co.uk/" TargetMode="External"/><Relationship Id="rId572" Type="http://schemas.openxmlformats.org/officeDocument/2006/relationships/hyperlink" Target="https://pbs.twimg.com/media/DmKPwTwW0AAF8RP.jpg" TargetMode="External"/><Relationship Id="rId593" Type="http://schemas.openxmlformats.org/officeDocument/2006/relationships/hyperlink" Target="https://pbs.twimg.com/media/DmKGdEFW4AAniqv.jpg" TargetMode="External"/><Relationship Id="rId607" Type="http://schemas.openxmlformats.org/officeDocument/2006/relationships/hyperlink" Target="https://gbmolluscatypes.ac.uk/" TargetMode="External"/><Relationship Id="rId628" Type="http://schemas.openxmlformats.org/officeDocument/2006/relationships/hyperlink" Target="http://nicolepmeehan.wordpress.com/" TargetMode="External"/><Relationship Id="rId649" Type="http://schemas.openxmlformats.org/officeDocument/2006/relationships/hyperlink" Target="https://www.digitalpreservation101.com/" TargetMode="External"/><Relationship Id="rId190" Type="http://schemas.openxmlformats.org/officeDocument/2006/relationships/hyperlink" Target="http://www.gla.ac.uk/schools/humanities/staff/mariaeconomou/" TargetMode="External"/><Relationship Id="rId204" Type="http://schemas.openxmlformats.org/officeDocument/2006/relationships/hyperlink" Target="http://www.hlf.org.uk/london" TargetMode="External"/><Relationship Id="rId225" Type="http://schemas.openxmlformats.org/officeDocument/2006/relationships/hyperlink" Target="http://www.dri.ie/" TargetMode="External"/><Relationship Id="rId246" Type="http://schemas.openxmlformats.org/officeDocument/2006/relationships/hyperlink" Target="http://www.gla.ac.uk/schools/humanities/staff/mariaeconomou/" TargetMode="External"/><Relationship Id="rId267" Type="http://schemas.openxmlformats.org/officeDocument/2006/relationships/hyperlink" Target="http://www.dpconline.org/" TargetMode="External"/><Relationship Id="rId288" Type="http://schemas.openxmlformats.org/officeDocument/2006/relationships/hyperlink" Target="http://www.fine-art.leeds.ac.uk/people/arran-rees/" TargetMode="External"/><Relationship Id="rId411" Type="http://schemas.openxmlformats.org/officeDocument/2006/relationships/hyperlink" Target="https://pbs.twimg.com/media/DmKbi1YX4AENINo.jpg" TargetMode="External"/><Relationship Id="rId432" Type="http://schemas.openxmlformats.org/officeDocument/2006/relationships/hyperlink" Target="https://pbs.twimg.com/media/DmIBVDKW4AE9TMo.jpg" TargetMode="External"/><Relationship Id="rId453" Type="http://schemas.openxmlformats.org/officeDocument/2006/relationships/hyperlink" Target="https://digitaldataucl.wordpress.com/" TargetMode="External"/><Relationship Id="rId474" Type="http://schemas.openxmlformats.org/officeDocument/2006/relationships/hyperlink" Target="http://dri.ie/dri-team/natalie-harrower" TargetMode="External"/><Relationship Id="rId509" Type="http://schemas.openxmlformats.org/officeDocument/2006/relationships/hyperlink" Target="http://dri.ie/dri-team/natalie-harrower" TargetMode="External"/><Relationship Id="rId106" Type="http://schemas.openxmlformats.org/officeDocument/2006/relationships/hyperlink" Target="https://research.ng-london.org.uk/" TargetMode="External"/><Relationship Id="rId127" Type="http://schemas.openxmlformats.org/officeDocument/2006/relationships/hyperlink" Target="https://pbs.twimg.com/media/DmLR6hAWwAAfOy_.jpg" TargetMode="External"/><Relationship Id="rId313" Type="http://schemas.openxmlformats.org/officeDocument/2006/relationships/hyperlink" Target="http://truseum.co.uk/" TargetMode="External"/><Relationship Id="rId495" Type="http://schemas.openxmlformats.org/officeDocument/2006/relationships/hyperlink" Target="https://pbs.twimg.com/media/DmKUYBLX4AA0PqJ.jpg" TargetMode="External"/><Relationship Id="rId10" Type="http://schemas.openxmlformats.org/officeDocument/2006/relationships/hyperlink" Target="http://www.dpconline.org/" TargetMode="External"/><Relationship Id="rId31" Type="http://schemas.openxmlformats.org/officeDocument/2006/relationships/hyperlink" Target="https://www.linkedin.com/in/sophiemisson" TargetMode="External"/><Relationship Id="rId52" Type="http://schemas.openxmlformats.org/officeDocument/2006/relationships/hyperlink" Target="https://twitter.com/21stCenturySF/status/1036631276051197953" TargetMode="External"/><Relationship Id="rId73" Type="http://schemas.openxmlformats.org/officeDocument/2006/relationships/hyperlink" Target="https://pbs.twimg.com/media/DmLdBIXW4AAf0mn.jpg" TargetMode="External"/><Relationship Id="rId94" Type="http://schemas.openxmlformats.org/officeDocument/2006/relationships/hyperlink" Target="http://fauxtoegrafik.wordpress.com/" TargetMode="External"/><Relationship Id="rId148" Type="http://schemas.openxmlformats.org/officeDocument/2006/relationships/hyperlink" Target="https://research.ng-london.org.uk/" TargetMode="External"/><Relationship Id="rId169" Type="http://schemas.openxmlformats.org/officeDocument/2006/relationships/hyperlink" Target="https://pbs.twimg.com/media/DmLJDC7W0AAPzku.jpg" TargetMode="External"/><Relationship Id="rId334" Type="http://schemas.openxmlformats.org/officeDocument/2006/relationships/hyperlink" Target="https://pbs.twimg.com/media/DmKl-iNXoAAVoql.jpg" TargetMode="External"/><Relationship Id="rId355" Type="http://schemas.openxmlformats.org/officeDocument/2006/relationships/hyperlink" Target="http://www.gla.ac.uk/schools/humanities/staff/mariaeconomou/" TargetMode="External"/><Relationship Id="rId376" Type="http://schemas.openxmlformats.org/officeDocument/2006/relationships/hyperlink" Target="https://pbs.twimg.com/media/DmKg5pHX0AADYVU.jpg" TargetMode="External"/><Relationship Id="rId397" Type="http://schemas.openxmlformats.org/officeDocument/2006/relationships/hyperlink" Target="http://www.dpconline.org/" TargetMode="External"/><Relationship Id="rId520" Type="http://schemas.openxmlformats.org/officeDocument/2006/relationships/hyperlink" Target="http://criticalsteph.wordpress.com/" TargetMode="External"/><Relationship Id="rId541" Type="http://schemas.openxmlformats.org/officeDocument/2006/relationships/hyperlink" Target="http://thenewartgallerywalsall.org.uk/" TargetMode="External"/><Relationship Id="rId562" Type="http://schemas.openxmlformats.org/officeDocument/2006/relationships/hyperlink" Target="https://pbs.twimg.com/media/DmKQH6oXcAAk6B5.jpg" TargetMode="External"/><Relationship Id="rId583" Type="http://schemas.openxmlformats.org/officeDocument/2006/relationships/hyperlink" Target="http://mima.art/" TargetMode="External"/><Relationship Id="rId618" Type="http://schemas.openxmlformats.org/officeDocument/2006/relationships/hyperlink" Target="http://www.gla.ac.uk/schools/humanities/staff/mariaeconomou/" TargetMode="External"/><Relationship Id="rId639" Type="http://schemas.openxmlformats.org/officeDocument/2006/relationships/hyperlink" Target="https://pbs.twimg.com/media/Dl76ZNMU0AAPQu-.jpg" TargetMode="External"/><Relationship Id="rId4" Type="http://schemas.openxmlformats.org/officeDocument/2006/relationships/hyperlink" Target="http://www.ima-solutions.fr/" TargetMode="External"/><Relationship Id="rId180" Type="http://schemas.openxmlformats.org/officeDocument/2006/relationships/hyperlink" Target="https://pbs.twimg.com/media/DmLIQFlW0AEfcay.jpg" TargetMode="External"/><Relationship Id="rId215" Type="http://schemas.openxmlformats.org/officeDocument/2006/relationships/hyperlink" Target="https://pbs.twimg.com/media/DmLEmIqWsAAvG1V.jpg" TargetMode="External"/><Relationship Id="rId236" Type="http://schemas.openxmlformats.org/officeDocument/2006/relationships/hyperlink" Target="http://www.artistarchivist.co.uk/" TargetMode="External"/><Relationship Id="rId257" Type="http://schemas.openxmlformats.org/officeDocument/2006/relationships/hyperlink" Target="https://twitter.com/FagAshLilith/status/1036590291762012160" TargetMode="External"/><Relationship Id="rId278" Type="http://schemas.openxmlformats.org/officeDocument/2006/relationships/hyperlink" Target="https://pbs.twimg.com/media/DmK77e7W4AAfruU.jpg" TargetMode="External"/><Relationship Id="rId401" Type="http://schemas.openxmlformats.org/officeDocument/2006/relationships/hyperlink" Target="http://www.dpconline.org/" TargetMode="External"/><Relationship Id="rId422" Type="http://schemas.openxmlformats.org/officeDocument/2006/relationships/hyperlink" Target="http://www.dpconline.org/" TargetMode="External"/><Relationship Id="rId443" Type="http://schemas.openxmlformats.org/officeDocument/2006/relationships/hyperlink" Target="https://pbs.twimg.com/media/DmKYD-_XsAEy5fy.jpg" TargetMode="External"/><Relationship Id="rId464" Type="http://schemas.openxmlformats.org/officeDocument/2006/relationships/hyperlink" Target="http://dri.ie/dri-team/natalie-harrower" TargetMode="External"/><Relationship Id="rId650" Type="http://schemas.openxmlformats.org/officeDocument/2006/relationships/hyperlink" Target="http://dri.ie/dri-team/natalie-harrower" TargetMode="External"/><Relationship Id="rId303" Type="http://schemas.openxmlformats.org/officeDocument/2006/relationships/hyperlink" Target="http://www.museumnexr.com/" TargetMode="External"/><Relationship Id="rId485" Type="http://schemas.openxmlformats.org/officeDocument/2006/relationships/hyperlink" Target="https://pbs.twimg.com/media/DmKVWn6XoAUs7Fb.jpg" TargetMode="External"/><Relationship Id="rId42" Type="http://schemas.openxmlformats.org/officeDocument/2006/relationships/hyperlink" Target="http://www.museums.norfolk.gov.uk/" TargetMode="External"/><Relationship Id="rId84" Type="http://schemas.openxmlformats.org/officeDocument/2006/relationships/hyperlink" Target="https://pbs.twimg.com/media/DmLaxr3W4AA3iBo.jpg" TargetMode="External"/><Relationship Id="rId138" Type="http://schemas.openxmlformats.org/officeDocument/2006/relationships/hyperlink" Target="https://pbs.twimg.com/media/DmLOZkOXcAM9ZEn.jpg" TargetMode="External"/><Relationship Id="rId345" Type="http://schemas.openxmlformats.org/officeDocument/2006/relationships/hyperlink" Target="https://mw18.mwconf.org/paper/structuring-for-digital-success-a-global-survey-of-how-museums-and-other-cultural-organisations-resource-fund-and-structure-their-digital-teams-and-activity/" TargetMode="External"/><Relationship Id="rId387" Type="http://schemas.openxmlformats.org/officeDocument/2006/relationships/hyperlink" Target="http://slipireland.com/" TargetMode="External"/><Relationship Id="rId510" Type="http://schemas.openxmlformats.org/officeDocument/2006/relationships/hyperlink" Target="http://www.dpconline.org/" TargetMode="External"/><Relationship Id="rId552" Type="http://schemas.openxmlformats.org/officeDocument/2006/relationships/hyperlink" Target="https://pbs.twimg.com/media/DmKQuDIWwAYBYTS.jpg" TargetMode="External"/><Relationship Id="rId594" Type="http://schemas.openxmlformats.org/officeDocument/2006/relationships/hyperlink" Target="http://www.ohs.org.uk/person/cai-parry-jones/" TargetMode="External"/><Relationship Id="rId608" Type="http://schemas.openxmlformats.org/officeDocument/2006/relationships/hyperlink" Target="http://www.vickydonnellan.co.uk/" TargetMode="External"/><Relationship Id="rId191" Type="http://schemas.openxmlformats.org/officeDocument/2006/relationships/hyperlink" Target="https://pbs.twimg.com/media/DmLHDCKX4AAK522.jpg" TargetMode="External"/><Relationship Id="rId205" Type="http://schemas.openxmlformats.org/officeDocument/2006/relationships/hyperlink" Target="http://www.dpconline.org/" TargetMode="External"/><Relationship Id="rId247" Type="http://schemas.openxmlformats.org/officeDocument/2006/relationships/hyperlink" Target="http://www.dpconline.org/" TargetMode="External"/><Relationship Id="rId412" Type="http://schemas.openxmlformats.org/officeDocument/2006/relationships/hyperlink" Target="https://pbs.twimg.com/media/DmKbfF8XsAEmrsw.jpg" TargetMode="External"/><Relationship Id="rId107" Type="http://schemas.openxmlformats.org/officeDocument/2006/relationships/hyperlink" Target="https://twitter.com/paulstewart90/status/1036547860949594113" TargetMode="External"/><Relationship Id="rId289" Type="http://schemas.openxmlformats.org/officeDocument/2006/relationships/hyperlink" Target="http://criticalsteph.wordpress.com/" TargetMode="External"/><Relationship Id="rId454" Type="http://schemas.openxmlformats.org/officeDocument/2006/relationships/hyperlink" Target="https://pbs.twimg.com/media/DmKXayFX4AAr7Io.jpg" TargetMode="External"/><Relationship Id="rId496" Type="http://schemas.openxmlformats.org/officeDocument/2006/relationships/hyperlink" Target="http://www.dpconline.org/" TargetMode="External"/><Relationship Id="rId11" Type="http://schemas.openxmlformats.org/officeDocument/2006/relationships/hyperlink" Target="http://www.hlf.org.uk/london" TargetMode="External"/><Relationship Id="rId53" Type="http://schemas.openxmlformats.org/officeDocument/2006/relationships/hyperlink" Target="http://pic.twitter.com/rxXnCzPQvD" TargetMode="External"/><Relationship Id="rId149" Type="http://schemas.openxmlformats.org/officeDocument/2006/relationships/hyperlink" Target="http://www.dpconline.org/" TargetMode="External"/><Relationship Id="rId314" Type="http://schemas.openxmlformats.org/officeDocument/2006/relationships/hyperlink" Target="http://criticalsteph.wordpress.com/" TargetMode="External"/><Relationship Id="rId356" Type="http://schemas.openxmlformats.org/officeDocument/2006/relationships/hyperlink" Target="https://twitter.com/ceririse/status/973634633710661632" TargetMode="External"/><Relationship Id="rId398" Type="http://schemas.openxmlformats.org/officeDocument/2006/relationships/hyperlink" Target="https://pbs.twimg.com/media/DmKcoM9XoAEnwqi.jpg" TargetMode="External"/><Relationship Id="rId521" Type="http://schemas.openxmlformats.org/officeDocument/2006/relationships/hyperlink" Target="http://elliemiles.wordpress.com/" TargetMode="External"/><Relationship Id="rId563" Type="http://schemas.openxmlformats.org/officeDocument/2006/relationships/hyperlink" Target="http://criticalsteph.wordpress.com/" TargetMode="External"/><Relationship Id="rId619" Type="http://schemas.openxmlformats.org/officeDocument/2006/relationships/hyperlink" Target="https://www.digitalpreservation101.com/programme/" TargetMode="External"/><Relationship Id="rId95" Type="http://schemas.openxmlformats.org/officeDocument/2006/relationships/hyperlink" Target="https://pbs.twimg.com/media/DmLXlNwX4AE30Q5.jpg" TargetMode="External"/><Relationship Id="rId160" Type="http://schemas.openxmlformats.org/officeDocument/2006/relationships/hyperlink" Target="http://www.dpconline.org/" TargetMode="External"/><Relationship Id="rId216" Type="http://schemas.openxmlformats.org/officeDocument/2006/relationships/hyperlink" Target="http://www.dpconline.org/" TargetMode="External"/><Relationship Id="rId423" Type="http://schemas.openxmlformats.org/officeDocument/2006/relationships/hyperlink" Target="https://ie.linkedin.com/in/paulpower" TargetMode="External"/><Relationship Id="rId258" Type="http://schemas.openxmlformats.org/officeDocument/2006/relationships/hyperlink" Target="https://pbs.twimg.com/media/DmK1W8LXcAAf3wN.jpg" TargetMode="External"/><Relationship Id="rId465" Type="http://schemas.openxmlformats.org/officeDocument/2006/relationships/hyperlink" Target="https://research.ng-london.org.uk/" TargetMode="External"/><Relationship Id="rId630" Type="http://schemas.openxmlformats.org/officeDocument/2006/relationships/hyperlink" Target="http://www.britishmuseum.org/" TargetMode="External"/><Relationship Id="rId22" Type="http://schemas.openxmlformats.org/officeDocument/2006/relationships/hyperlink" Target="http://www.hi-impact.media/" TargetMode="External"/><Relationship Id="rId64" Type="http://schemas.openxmlformats.org/officeDocument/2006/relationships/hyperlink" Target="http://elliemiles.wordpress.com/" TargetMode="External"/><Relationship Id="rId118" Type="http://schemas.openxmlformats.org/officeDocument/2006/relationships/hyperlink" Target="https://pbs.twimg.com/media/DmLTlZNX0AIuKsQ.jpg" TargetMode="External"/><Relationship Id="rId325" Type="http://schemas.openxmlformats.org/officeDocument/2006/relationships/hyperlink" Target="https://pbs.twimg.com/media/DmKoAY5W4AASxC2.jpg" TargetMode="External"/><Relationship Id="rId367" Type="http://schemas.openxmlformats.org/officeDocument/2006/relationships/hyperlink" Target="http://www.dpconline.org/" TargetMode="External"/><Relationship Id="rId532" Type="http://schemas.openxmlformats.org/officeDocument/2006/relationships/hyperlink" Target="https://exeter.academia.edu/JennyLee" TargetMode="External"/><Relationship Id="rId574" Type="http://schemas.openxmlformats.org/officeDocument/2006/relationships/hyperlink" Target="http://www.zenlan.com/collage" TargetMode="External"/><Relationship Id="rId171" Type="http://schemas.openxmlformats.org/officeDocument/2006/relationships/hyperlink" Target="http://www.archiveready.com/" TargetMode="External"/><Relationship Id="rId227" Type="http://schemas.openxmlformats.org/officeDocument/2006/relationships/hyperlink" Target="https://pbs.twimg.com/media/DmLDKcLWsAE_fEZ.jpg" TargetMode="External"/><Relationship Id="rId269" Type="http://schemas.openxmlformats.org/officeDocument/2006/relationships/hyperlink" Target="https://www.linkedin.com/in/gabrielle-heffernan-29578032?trk=hp-identity-name" TargetMode="External"/><Relationship Id="rId434" Type="http://schemas.openxmlformats.org/officeDocument/2006/relationships/hyperlink" Target="http://www.dpconline.org/" TargetMode="External"/><Relationship Id="rId476" Type="http://schemas.openxmlformats.org/officeDocument/2006/relationships/hyperlink" Target="http://pic.twitter.com/IefM97ktzm" TargetMode="External"/><Relationship Id="rId641" Type="http://schemas.openxmlformats.org/officeDocument/2006/relationships/hyperlink" Target="https://about.me/cgurrin" TargetMode="External"/><Relationship Id="rId33" Type="http://schemas.openxmlformats.org/officeDocument/2006/relationships/hyperlink" Target="http://linkedin.com/in/elisagravil" TargetMode="External"/><Relationship Id="rId129" Type="http://schemas.openxmlformats.org/officeDocument/2006/relationships/hyperlink" Target="https://pbs.twimg.com/media/DmLR2OdX4AAuPRL.jpg" TargetMode="External"/><Relationship Id="rId280" Type="http://schemas.openxmlformats.org/officeDocument/2006/relationships/hyperlink" Target="https://pbs.twimg.com/media/DmK7uGNXoAAql1M.jpg" TargetMode="External"/><Relationship Id="rId336" Type="http://schemas.openxmlformats.org/officeDocument/2006/relationships/hyperlink" Target="https://pbs.twimg.com/media/DmKl1FFXcAAQsHI.jpg" TargetMode="External"/><Relationship Id="rId501" Type="http://schemas.openxmlformats.org/officeDocument/2006/relationships/hyperlink" Target="http://criticalsteph.wordpress.com/" TargetMode="External"/><Relationship Id="rId543" Type="http://schemas.openxmlformats.org/officeDocument/2006/relationships/hyperlink" Target="https://pbs.twimg.com/media/DmKRVIpW4AAIai2.jpg" TargetMode="External"/><Relationship Id="rId75" Type="http://schemas.openxmlformats.org/officeDocument/2006/relationships/hyperlink" Target="https://pbs.twimg.com/media/DmLcdAsX0AAbK8d.jpg" TargetMode="External"/><Relationship Id="rId140" Type="http://schemas.openxmlformats.org/officeDocument/2006/relationships/hyperlink" Target="https://pbs.twimg.com/media/DmLNLpPW0AAp4L2.jpg" TargetMode="External"/><Relationship Id="rId182" Type="http://schemas.openxmlformats.org/officeDocument/2006/relationships/hyperlink" Target="http://ashleymariekelleher.com/" TargetMode="External"/><Relationship Id="rId378" Type="http://schemas.openxmlformats.org/officeDocument/2006/relationships/hyperlink" Target="http://www.cosector.com/" TargetMode="External"/><Relationship Id="rId403" Type="http://schemas.openxmlformats.org/officeDocument/2006/relationships/hyperlink" Target="http://nicolepmeehan.wordpress.com/" TargetMode="External"/><Relationship Id="rId585" Type="http://schemas.openxmlformats.org/officeDocument/2006/relationships/hyperlink" Target="https://exeter.academia.edu/JennyLee" TargetMode="External"/><Relationship Id="rId6" Type="http://schemas.openxmlformats.org/officeDocument/2006/relationships/hyperlink" Target="https://pbs.twimg.com/media/DmUKqd-W4AETpKz.jpg" TargetMode="External"/><Relationship Id="rId238" Type="http://schemas.openxmlformats.org/officeDocument/2006/relationships/hyperlink" Target="http://slipireland.com/" TargetMode="External"/><Relationship Id="rId445" Type="http://schemas.openxmlformats.org/officeDocument/2006/relationships/hyperlink" Target="http://www.dpconline.org/" TargetMode="External"/><Relationship Id="rId487" Type="http://schemas.openxmlformats.org/officeDocument/2006/relationships/hyperlink" Target="https://pbs.twimg.com/media/DmKVJJaW0AAs_Jw.jpg" TargetMode="External"/><Relationship Id="rId610" Type="http://schemas.openxmlformats.org/officeDocument/2006/relationships/hyperlink" Target="http://www.dpconline.org/" TargetMode="External"/><Relationship Id="rId652" Type="http://schemas.openxmlformats.org/officeDocument/2006/relationships/hyperlink" Target="http://www.ima-solutions.fr/" TargetMode="External"/><Relationship Id="rId291" Type="http://schemas.openxmlformats.org/officeDocument/2006/relationships/hyperlink" Target="http://tomensom.com/" TargetMode="External"/><Relationship Id="rId305" Type="http://schemas.openxmlformats.org/officeDocument/2006/relationships/hyperlink" Target="https://pbs.twimg.com/media/DmKu0McW0AEC2Al.jpg" TargetMode="External"/><Relationship Id="rId347" Type="http://schemas.openxmlformats.org/officeDocument/2006/relationships/hyperlink" Target="http://www.oonaghmurphy.com/" TargetMode="External"/><Relationship Id="rId512" Type="http://schemas.openxmlformats.org/officeDocument/2006/relationships/hyperlink" Target="https://pbs.twimg.com/media/DmKTJEYWsAAvKQ7.jpg" TargetMode="External"/><Relationship Id="rId44" Type="http://schemas.openxmlformats.org/officeDocument/2006/relationships/hyperlink" Target="http://www.museums.norfolk.gov.uk/" TargetMode="External"/><Relationship Id="rId86" Type="http://schemas.openxmlformats.org/officeDocument/2006/relationships/hyperlink" Target="http://pic.twitter.com/rxXnCzPQvD" TargetMode="External"/><Relationship Id="rId151" Type="http://schemas.openxmlformats.org/officeDocument/2006/relationships/hyperlink" Target="https://graphcommons.com/" TargetMode="External"/><Relationship Id="rId389" Type="http://schemas.openxmlformats.org/officeDocument/2006/relationships/hyperlink" Target="http://dri.ie/dri-team/natalie-harrower" TargetMode="External"/><Relationship Id="rId554" Type="http://schemas.openxmlformats.org/officeDocument/2006/relationships/hyperlink" Target="https://pbs.twimg.com/media/DmKQwykX4AElZPw.jpg" TargetMode="External"/><Relationship Id="rId596" Type="http://schemas.openxmlformats.org/officeDocument/2006/relationships/hyperlink" Target="http://www.hopfgartner.co.uk/" TargetMode="External"/><Relationship Id="rId193" Type="http://schemas.openxmlformats.org/officeDocument/2006/relationships/hyperlink" Target="http://truseum.co.uk/" TargetMode="External"/><Relationship Id="rId207" Type="http://schemas.openxmlformats.org/officeDocument/2006/relationships/hyperlink" Target="https://pbs.twimg.com/media/DmLERnqWwAENNmL.jpg" TargetMode="External"/><Relationship Id="rId249" Type="http://schemas.openxmlformats.org/officeDocument/2006/relationships/hyperlink" Target="http://www.dpconline.org/" TargetMode="External"/><Relationship Id="rId414" Type="http://schemas.openxmlformats.org/officeDocument/2006/relationships/hyperlink" Target="http://www.dpconline.org/" TargetMode="External"/><Relationship Id="rId456" Type="http://schemas.openxmlformats.org/officeDocument/2006/relationships/hyperlink" Target="https://pbs.twimg.com/media/DmKXWMNX4AEQlw0.jpg" TargetMode="External"/><Relationship Id="rId498" Type="http://schemas.openxmlformats.org/officeDocument/2006/relationships/hyperlink" Target="http://criticalsteph.wordpress.com/" TargetMode="External"/><Relationship Id="rId621" Type="http://schemas.openxmlformats.org/officeDocument/2006/relationships/hyperlink" Target="http://www.dpconline.org/" TargetMode="External"/><Relationship Id="rId13" Type="http://schemas.openxmlformats.org/officeDocument/2006/relationships/hyperlink" Target="https://pbs.twimg.com/media/DmOo8BwX4AAMzEi.jpg" TargetMode="External"/><Relationship Id="rId109" Type="http://schemas.openxmlformats.org/officeDocument/2006/relationships/hyperlink" Target="https://pbs.twimg.com/media/DmLUvJgVsAUu90g.jpg" TargetMode="External"/><Relationship Id="rId260" Type="http://schemas.openxmlformats.org/officeDocument/2006/relationships/hyperlink" Target="http://www.mardixon.com/" TargetMode="External"/><Relationship Id="rId316" Type="http://schemas.openxmlformats.org/officeDocument/2006/relationships/hyperlink" Target="http://www.hlf.org.uk/london" TargetMode="External"/><Relationship Id="rId523" Type="http://schemas.openxmlformats.org/officeDocument/2006/relationships/hyperlink" Target="https://pbs.twimg.com/media/DmKSiDXWsAMWUtS.jpg" TargetMode="External"/><Relationship Id="rId55" Type="http://schemas.openxmlformats.org/officeDocument/2006/relationships/hyperlink" Target="http://www.dri.ie/" TargetMode="External"/><Relationship Id="rId97" Type="http://schemas.openxmlformats.org/officeDocument/2006/relationships/hyperlink" Target="https://pbs.twimg.com/media/DmLXqnBWsAAvl8T.jpg" TargetMode="External"/><Relationship Id="rId120" Type="http://schemas.openxmlformats.org/officeDocument/2006/relationships/hyperlink" Target="http://acidfreeblog.com/" TargetMode="External"/><Relationship Id="rId358" Type="http://schemas.openxmlformats.org/officeDocument/2006/relationships/hyperlink" Target="http://www.oonaghmurphy.com/" TargetMode="External"/><Relationship Id="rId565" Type="http://schemas.openxmlformats.org/officeDocument/2006/relationships/hyperlink" Target="http://www.dpconline.org/" TargetMode="External"/><Relationship Id="rId162" Type="http://schemas.openxmlformats.org/officeDocument/2006/relationships/hyperlink" Target="http://www.eastanglianlife.org.uk/" TargetMode="External"/><Relationship Id="rId218" Type="http://schemas.openxmlformats.org/officeDocument/2006/relationships/hyperlink" Target="http://dri.ie/dri-team/natalie-harrower" TargetMode="External"/><Relationship Id="rId425" Type="http://schemas.openxmlformats.org/officeDocument/2006/relationships/hyperlink" Target="http://www.nationalarchives.ie/" TargetMode="External"/><Relationship Id="rId467" Type="http://schemas.openxmlformats.org/officeDocument/2006/relationships/hyperlink" Target="https://pbs.twimg.com/media/DmKWylgWwAAGl16.jpg" TargetMode="External"/><Relationship Id="rId632" Type="http://schemas.openxmlformats.org/officeDocument/2006/relationships/hyperlink" Target="http://www.lisejaillant.com/" TargetMode="External"/><Relationship Id="rId271" Type="http://schemas.openxmlformats.org/officeDocument/2006/relationships/hyperlink" Target="http://criticalsteph.wordpress.com/" TargetMode="External"/><Relationship Id="rId24" Type="http://schemas.openxmlformats.org/officeDocument/2006/relationships/hyperlink" Target="https://pbs.twimg.com/media/DmLp2ToXsAU6e9r.jpg" TargetMode="External"/><Relationship Id="rId66" Type="http://schemas.openxmlformats.org/officeDocument/2006/relationships/hyperlink" Target="http://www.archaeovision.eu/" TargetMode="External"/><Relationship Id="rId131" Type="http://schemas.openxmlformats.org/officeDocument/2006/relationships/hyperlink" Target="https://www.jiscmail.ac.uk/cgi-bin/webadmin?SUBED1=CONTEMPORARYCOLLECTING&amp;A=1" TargetMode="External"/><Relationship Id="rId327" Type="http://schemas.openxmlformats.org/officeDocument/2006/relationships/hyperlink" Target="http://elliemiles.wordpress.com/" TargetMode="External"/><Relationship Id="rId369" Type="http://schemas.openxmlformats.org/officeDocument/2006/relationships/hyperlink" Target="https://pbs.twimg.com/media/DmKiKO_XoAEb2lA.jpg" TargetMode="External"/><Relationship Id="rId534" Type="http://schemas.openxmlformats.org/officeDocument/2006/relationships/hyperlink" Target="https://pbs.twimg.com/media/DmKP5V6W4AU9-db.jpg" TargetMode="External"/><Relationship Id="rId576" Type="http://schemas.openxmlformats.org/officeDocument/2006/relationships/hyperlink" Target="http://www.preservica.com/" TargetMode="External"/><Relationship Id="rId173" Type="http://schemas.openxmlformats.org/officeDocument/2006/relationships/hyperlink" Target="http://pic.twitter.com/z417D5iT2q" TargetMode="External"/><Relationship Id="rId229" Type="http://schemas.openxmlformats.org/officeDocument/2006/relationships/hyperlink" Target="https://goo.gl/zyXHH1" TargetMode="External"/><Relationship Id="rId380" Type="http://schemas.openxmlformats.org/officeDocument/2006/relationships/hyperlink" Target="http://slipireland.com/" TargetMode="External"/><Relationship Id="rId436" Type="http://schemas.openxmlformats.org/officeDocument/2006/relationships/hyperlink" Target="http://www.dpconline.org/" TargetMode="External"/><Relationship Id="rId601" Type="http://schemas.openxmlformats.org/officeDocument/2006/relationships/hyperlink" Target="http://www.webarchive.org.uk/" TargetMode="External"/><Relationship Id="rId643" Type="http://schemas.openxmlformats.org/officeDocument/2006/relationships/hyperlink" Target="http://www.mirrorweb.com/" TargetMode="External"/><Relationship Id="rId240" Type="http://schemas.openxmlformats.org/officeDocument/2006/relationships/hyperlink" Target="http://criticalsteph.wordpress.com/" TargetMode="External"/><Relationship Id="rId478" Type="http://schemas.openxmlformats.org/officeDocument/2006/relationships/hyperlink" Target="http://www.dpconline.org/" TargetMode="External"/><Relationship Id="rId35" Type="http://schemas.openxmlformats.org/officeDocument/2006/relationships/hyperlink" Target="https://pbs.twimg.com/media/DmLtu9DXsAAEMyd.jpg" TargetMode="External"/><Relationship Id="rId77" Type="http://schemas.openxmlformats.org/officeDocument/2006/relationships/hyperlink" Target="https://pbs.twimg.com/media/DmLcDEeX0AAyfYJ.jpg" TargetMode="External"/><Relationship Id="rId100" Type="http://schemas.openxmlformats.org/officeDocument/2006/relationships/hyperlink" Target="http://www.gla.ac.uk/schools/humanities/staff/mariaeconomou/" TargetMode="External"/><Relationship Id="rId282" Type="http://schemas.openxmlformats.org/officeDocument/2006/relationships/hyperlink" Target="https://pbs.twimg.com/media/DmK7uGJXsAAYMtV.jpg" TargetMode="External"/><Relationship Id="rId338" Type="http://schemas.openxmlformats.org/officeDocument/2006/relationships/hyperlink" Target="http://preservationguide.co.uk/" TargetMode="External"/><Relationship Id="rId503" Type="http://schemas.openxmlformats.org/officeDocument/2006/relationships/hyperlink" Target="http://dri.ie/dri-team/natalie-harrower" TargetMode="External"/><Relationship Id="rId545" Type="http://schemas.openxmlformats.org/officeDocument/2006/relationships/hyperlink" Target="http://data.plantsci.cam.ac.uk/herbarium/" TargetMode="External"/><Relationship Id="rId587" Type="http://schemas.openxmlformats.org/officeDocument/2006/relationships/hyperlink" Target="https://pbs.twimg.com/media/DmKNj5vWsAEmvA6.jpg" TargetMode="External"/><Relationship Id="rId8" Type="http://schemas.openxmlformats.org/officeDocument/2006/relationships/hyperlink" Target="https://twitter.com/WilliamKilbride/status/1037242571104370689" TargetMode="External"/><Relationship Id="rId142" Type="http://schemas.openxmlformats.org/officeDocument/2006/relationships/hyperlink" Target="http://infinitetypewriters.wordpress.com/" TargetMode="External"/><Relationship Id="rId184" Type="http://schemas.openxmlformats.org/officeDocument/2006/relationships/hyperlink" Target="http://elliemiles.wordpress.com/" TargetMode="External"/><Relationship Id="rId391" Type="http://schemas.openxmlformats.org/officeDocument/2006/relationships/hyperlink" Target="http://avcf.co.uk/" TargetMode="External"/><Relationship Id="rId405" Type="http://schemas.openxmlformats.org/officeDocument/2006/relationships/hyperlink" Target="https://pbs.twimg.com/media/DmKcJx4XsAAKR6U.jpg" TargetMode="External"/><Relationship Id="rId447" Type="http://schemas.openxmlformats.org/officeDocument/2006/relationships/hyperlink" Target="http://slipireland.com/" TargetMode="External"/><Relationship Id="rId612" Type="http://schemas.openxmlformats.org/officeDocument/2006/relationships/hyperlink" Target="https://pbs.twimg.com/media/DmJmU5eXoAYgyOz.jpg" TargetMode="External"/><Relationship Id="rId251" Type="http://schemas.openxmlformats.org/officeDocument/2006/relationships/hyperlink" Target="http://criticalsteph.wordpress.com/" TargetMode="External"/><Relationship Id="rId489" Type="http://schemas.openxmlformats.org/officeDocument/2006/relationships/hyperlink" Target="https://pbs.twimg.com/media/DmKVGOIWsAEVVzB.jpg" TargetMode="External"/><Relationship Id="rId654" Type="http://schemas.openxmlformats.org/officeDocument/2006/relationships/hyperlink" Target="http://www.dpconline.org/" TargetMode="External"/><Relationship Id="rId46" Type="http://schemas.openxmlformats.org/officeDocument/2006/relationships/hyperlink" Target="http://www.dpconline.org/" TargetMode="External"/><Relationship Id="rId293" Type="http://schemas.openxmlformats.org/officeDocument/2006/relationships/hyperlink" Target="https://pbs.twimg.com/media/DmK3-UTWwAAvQwb.jpg" TargetMode="External"/><Relationship Id="rId307" Type="http://schemas.openxmlformats.org/officeDocument/2006/relationships/hyperlink" Target="https://pbs.twimg.com/media/DmKttv5WsAAOncL.jpg" TargetMode="External"/><Relationship Id="rId349" Type="http://schemas.openxmlformats.org/officeDocument/2006/relationships/hyperlink" Target="http://criticalsteph.wordpress.com/" TargetMode="External"/><Relationship Id="rId514" Type="http://schemas.openxmlformats.org/officeDocument/2006/relationships/hyperlink" Target="https://pbs.twimg.com/media/DmKTEC3WwAUjhS1.jpg" TargetMode="External"/><Relationship Id="rId556" Type="http://schemas.openxmlformats.org/officeDocument/2006/relationships/hyperlink" Target="http://www.doublexp.net/" TargetMode="External"/><Relationship Id="rId88" Type="http://schemas.openxmlformats.org/officeDocument/2006/relationships/hyperlink" Target="https://pbs.twimg.com/media/DmLabnFXoAIxGRr.jpg" TargetMode="External"/><Relationship Id="rId111" Type="http://schemas.openxmlformats.org/officeDocument/2006/relationships/hyperlink" Target="https://www.bl.uk/people/experts/caylin-smith" TargetMode="External"/><Relationship Id="rId153" Type="http://schemas.openxmlformats.org/officeDocument/2006/relationships/hyperlink" Target="https://pbs.twimg.com/media/DmLJ7doWsAAvEur.jpg" TargetMode="External"/><Relationship Id="rId195" Type="http://schemas.openxmlformats.org/officeDocument/2006/relationships/hyperlink" Target="http://www.fine-art.leeds.ac.uk/people/arran-rees/" TargetMode="External"/><Relationship Id="rId209" Type="http://schemas.openxmlformats.org/officeDocument/2006/relationships/hyperlink" Target="https://pbs.twimg.com/media/DmLFIAdXsAAyx0m.jpg" TargetMode="External"/><Relationship Id="rId360" Type="http://schemas.openxmlformats.org/officeDocument/2006/relationships/hyperlink" Target="https://pbs.twimg.com/media/DmKjCO0X4AMjBud.jpg" TargetMode="External"/><Relationship Id="rId416" Type="http://schemas.openxmlformats.org/officeDocument/2006/relationships/hyperlink" Target="http://slipireland.com/" TargetMode="External"/><Relationship Id="rId598" Type="http://schemas.openxmlformats.org/officeDocument/2006/relationships/hyperlink" Target="http://www.churchcare.co.uk/" TargetMode="External"/><Relationship Id="rId220" Type="http://schemas.openxmlformats.org/officeDocument/2006/relationships/hyperlink" Target="http://www.dri.ie/" TargetMode="External"/><Relationship Id="rId458" Type="http://schemas.openxmlformats.org/officeDocument/2006/relationships/hyperlink" Target="http://instagram.com/jemimagin" TargetMode="External"/><Relationship Id="rId623" Type="http://schemas.openxmlformats.org/officeDocument/2006/relationships/hyperlink" Target="http://blog.iliou-melathron.de/" TargetMode="External"/><Relationship Id="rId15" Type="http://schemas.openxmlformats.org/officeDocument/2006/relationships/hyperlink" Target="http://www.britishmuseum.org/learning/samsung_centre/schools.aspx" TargetMode="External"/><Relationship Id="rId57" Type="http://schemas.openxmlformats.org/officeDocument/2006/relationships/hyperlink" Target="https://www.bl.uk/people/experts/caylin-smith" TargetMode="External"/><Relationship Id="rId262" Type="http://schemas.openxmlformats.org/officeDocument/2006/relationships/hyperlink" Target="https://pbs.twimg.com/media/DmK7YxIXoAAVsPK.jpg" TargetMode="External"/><Relationship Id="rId318" Type="http://schemas.openxmlformats.org/officeDocument/2006/relationships/hyperlink" Target="https://pbs.twimg.com/media/DmKpVc9XoAA0fZT.jpg" TargetMode="External"/><Relationship Id="rId525" Type="http://schemas.openxmlformats.org/officeDocument/2006/relationships/hyperlink" Target="http://www.dpconline.org/" TargetMode="External"/><Relationship Id="rId567" Type="http://schemas.openxmlformats.org/officeDocument/2006/relationships/hyperlink" Target="https://pbs.twimg.com/media/DmKQBxWXcAAWXhi.jpg" TargetMode="External"/><Relationship Id="rId99" Type="http://schemas.openxmlformats.org/officeDocument/2006/relationships/hyperlink" Target="https://pbs.twimg.com/media/DmLXQh3XgAAYwyR.jpg" TargetMode="External"/><Relationship Id="rId122" Type="http://schemas.openxmlformats.org/officeDocument/2006/relationships/hyperlink" Target="http://acidfreeblog.com/" TargetMode="External"/><Relationship Id="rId164" Type="http://schemas.openxmlformats.org/officeDocument/2006/relationships/hyperlink" Target="http://www.oonaghmurphy.com/" TargetMode="External"/><Relationship Id="rId371" Type="http://schemas.openxmlformats.org/officeDocument/2006/relationships/hyperlink" Target="https://pbs.twimg.com/media/DmKh7piXsAApBr3.jpg" TargetMode="External"/><Relationship Id="rId427" Type="http://schemas.openxmlformats.org/officeDocument/2006/relationships/hyperlink" Target="http://www.hlf.org.uk/london" TargetMode="External"/><Relationship Id="rId469" Type="http://schemas.openxmlformats.org/officeDocument/2006/relationships/hyperlink" Target="https://pbs.twimg.com/media/DmKWuLRXcAAV0SD.jpg" TargetMode="External"/><Relationship Id="rId634" Type="http://schemas.openxmlformats.org/officeDocument/2006/relationships/hyperlink" Target="https://pbs.twimg.com/media/Dl8rCOCW4AQm_Zb.jpg" TargetMode="External"/><Relationship Id="rId26" Type="http://schemas.openxmlformats.org/officeDocument/2006/relationships/hyperlink" Target="http://tough-study-133923.appspot.com/about" TargetMode="External"/><Relationship Id="rId231" Type="http://schemas.openxmlformats.org/officeDocument/2006/relationships/hyperlink" Target="http://libnova.com/en/" TargetMode="External"/><Relationship Id="rId273" Type="http://schemas.openxmlformats.org/officeDocument/2006/relationships/hyperlink" Target="http://www.dpconline.org/" TargetMode="External"/><Relationship Id="rId329" Type="http://schemas.openxmlformats.org/officeDocument/2006/relationships/hyperlink" Target="http://criticalsteph.wordpress.com/" TargetMode="External"/><Relationship Id="rId480" Type="http://schemas.openxmlformats.org/officeDocument/2006/relationships/hyperlink" Target="http://www.eastanglianlife.org.uk/" TargetMode="External"/><Relationship Id="rId536" Type="http://schemas.openxmlformats.org/officeDocument/2006/relationships/hyperlink" Target="http://www.gla.ac.uk/schools/humanities/staff/mariaeconomou/" TargetMode="External"/><Relationship Id="rId68" Type="http://schemas.openxmlformats.org/officeDocument/2006/relationships/hyperlink" Target="https://pbs.twimg.com/media/DmLe7ANXgAA9ibH.jpg" TargetMode="External"/><Relationship Id="rId133" Type="http://schemas.openxmlformats.org/officeDocument/2006/relationships/hyperlink" Target="https://pbs.twimg.com/media/DmLRWNSXcAAs5ef.jpg" TargetMode="External"/><Relationship Id="rId175" Type="http://schemas.openxmlformats.org/officeDocument/2006/relationships/hyperlink" Target="http://www.dpconline.org/" TargetMode="External"/><Relationship Id="rId340" Type="http://schemas.openxmlformats.org/officeDocument/2006/relationships/hyperlink" Target="https://pbs.twimg.com/media/DmKlX0hW0AANqd4.jpg" TargetMode="External"/><Relationship Id="rId578" Type="http://schemas.openxmlformats.org/officeDocument/2006/relationships/hyperlink" Target="https://pbs.twimg.com/media/DmKO5-BW4AA0y4Y.jpg" TargetMode="External"/><Relationship Id="rId200" Type="http://schemas.openxmlformats.org/officeDocument/2006/relationships/hyperlink" Target="https://twitter.com/eloisarod/status/1036597122605494272" TargetMode="External"/><Relationship Id="rId382" Type="http://schemas.openxmlformats.org/officeDocument/2006/relationships/hyperlink" Target="http://linkedin.com/in/elisagravil" TargetMode="External"/><Relationship Id="rId438" Type="http://schemas.openxmlformats.org/officeDocument/2006/relationships/hyperlink" Target="https://www.linkedin.com/in/gabrielle-heffernan-29578032?trk=hp-identity-name" TargetMode="External"/><Relationship Id="rId603" Type="http://schemas.openxmlformats.org/officeDocument/2006/relationships/hyperlink" Target="https://pbs.twimg.com/media/DmJ63PyWwAAJHzS.jpg" TargetMode="External"/><Relationship Id="rId645" Type="http://schemas.openxmlformats.org/officeDocument/2006/relationships/hyperlink" Target="http://www.fine-art.leeds.ac.uk/people/arran-rees/" TargetMode="External"/><Relationship Id="rId242" Type="http://schemas.openxmlformats.org/officeDocument/2006/relationships/hyperlink" Target="https://pbs.twimg.com/media/DmLAhPXW0AAAnPM.jpg" TargetMode="External"/><Relationship Id="rId284" Type="http://schemas.openxmlformats.org/officeDocument/2006/relationships/hyperlink" Target="https://pbs.twimg.com/media/DmK7lbGWwAAP3aC.jpg" TargetMode="External"/><Relationship Id="rId491" Type="http://schemas.openxmlformats.org/officeDocument/2006/relationships/hyperlink" Target="http://data.plantsci.cam.ac.uk/herbarium/" TargetMode="External"/><Relationship Id="rId505" Type="http://schemas.openxmlformats.org/officeDocument/2006/relationships/hyperlink" Target="http://pic.twitter.com/z0SqT5ydaA" TargetMode="External"/><Relationship Id="rId37" Type="http://schemas.openxmlformats.org/officeDocument/2006/relationships/hyperlink" Target="http://www.artsandhumanities.org/" TargetMode="External"/><Relationship Id="rId79" Type="http://schemas.openxmlformats.org/officeDocument/2006/relationships/hyperlink" Target="https://pbs.twimg.com/media/DmLcBIFXgAAWQi-.jpg" TargetMode="External"/><Relationship Id="rId102" Type="http://schemas.openxmlformats.org/officeDocument/2006/relationships/hyperlink" Target="http://tomensom.com/" TargetMode="External"/><Relationship Id="rId144" Type="http://schemas.openxmlformats.org/officeDocument/2006/relationships/hyperlink" Target="https://www.bl.uk/people/experts/caylin-smith" TargetMode="External"/><Relationship Id="rId547" Type="http://schemas.openxmlformats.org/officeDocument/2006/relationships/hyperlink" Target="http://www.dpconline.org/" TargetMode="External"/><Relationship Id="rId589" Type="http://schemas.openxmlformats.org/officeDocument/2006/relationships/hyperlink" Target="http://museologi.st/" TargetMode="External"/><Relationship Id="rId90" Type="http://schemas.openxmlformats.org/officeDocument/2006/relationships/hyperlink" Target="https://pbs.twimg.com/media/DmLZqZJW4AEd_YE.jpg" TargetMode="External"/><Relationship Id="rId186" Type="http://schemas.openxmlformats.org/officeDocument/2006/relationships/hyperlink" Target="http://wiki.dpconline.org/index.php?title=Digital_Preservation_Business_Case_Toolkit" TargetMode="External"/><Relationship Id="rId351" Type="http://schemas.openxmlformats.org/officeDocument/2006/relationships/hyperlink" Target="https://dpo.si.edu/blog/articulated-woolly-mammoth-manga" TargetMode="External"/><Relationship Id="rId393" Type="http://schemas.openxmlformats.org/officeDocument/2006/relationships/hyperlink" Target="http://www.dpconline.org/" TargetMode="External"/><Relationship Id="rId407" Type="http://schemas.openxmlformats.org/officeDocument/2006/relationships/hyperlink" Target="https://pbs.twimg.com/media/DmIBVDKW4AE9TMo.jpg" TargetMode="External"/><Relationship Id="rId449" Type="http://schemas.openxmlformats.org/officeDocument/2006/relationships/hyperlink" Target="https://pbs.twimg.com/media/DmKX69zWsAAmoJn.jpg" TargetMode="External"/><Relationship Id="rId614" Type="http://schemas.openxmlformats.org/officeDocument/2006/relationships/hyperlink" Target="http://dri.ie/dri-team/natalie-harrower" TargetMode="External"/><Relationship Id="rId656" Type="http://schemas.openxmlformats.org/officeDocument/2006/relationships/hyperlink" Target="http://www.dpconline.org/" TargetMode="External"/><Relationship Id="rId211" Type="http://schemas.openxmlformats.org/officeDocument/2006/relationships/hyperlink" Target="https://www.linkedin.com/in/dafjames" TargetMode="External"/><Relationship Id="rId253" Type="http://schemas.openxmlformats.org/officeDocument/2006/relationships/hyperlink" Target="http://slipireland.com/" TargetMode="External"/><Relationship Id="rId295" Type="http://schemas.openxmlformats.org/officeDocument/2006/relationships/hyperlink" Target="http://www.mardixon.com/" TargetMode="External"/><Relationship Id="rId309" Type="http://schemas.openxmlformats.org/officeDocument/2006/relationships/hyperlink" Target="http://pic.twitter.com/hF4kSWnE1Z" TargetMode="External"/><Relationship Id="rId460" Type="http://schemas.openxmlformats.org/officeDocument/2006/relationships/hyperlink" Target="https://britishmuseum.academia.edu/RosieWeetch" TargetMode="External"/><Relationship Id="rId516" Type="http://schemas.openxmlformats.org/officeDocument/2006/relationships/hyperlink" Target="http://www.gla.ac.uk/schools/humanities/staff/mariaeconomou/" TargetMode="External"/><Relationship Id="rId48" Type="http://schemas.openxmlformats.org/officeDocument/2006/relationships/hyperlink" Target="http://www.dpconline.org/" TargetMode="External"/><Relationship Id="rId113" Type="http://schemas.openxmlformats.org/officeDocument/2006/relationships/hyperlink" Target="https://pbs.twimg.com/media/DmLUBfvXcAAo5TX.jpg" TargetMode="External"/><Relationship Id="rId320" Type="http://schemas.openxmlformats.org/officeDocument/2006/relationships/hyperlink" Target="http://elliemiles.wordpress.com/" TargetMode="External"/><Relationship Id="rId558" Type="http://schemas.openxmlformats.org/officeDocument/2006/relationships/hyperlink" Target="https://pbs.twimg.com/media/DmKQhfKX0AAJdrC.jpg" TargetMode="External"/><Relationship Id="rId155" Type="http://schemas.openxmlformats.org/officeDocument/2006/relationships/hyperlink" Target="https://pbs.twimg.com/media/DmLJ3i9X4AYkLjQ.jpg" TargetMode="External"/><Relationship Id="rId197" Type="http://schemas.openxmlformats.org/officeDocument/2006/relationships/hyperlink" Target="https://pbs.twimg.com/media/DmLGPqpX4AANlFT.jpg" TargetMode="External"/><Relationship Id="rId362" Type="http://schemas.openxmlformats.org/officeDocument/2006/relationships/hyperlink" Target="http://dri.ie/dri-team/natalie-harrower" TargetMode="External"/><Relationship Id="rId418" Type="http://schemas.openxmlformats.org/officeDocument/2006/relationships/hyperlink" Target="http://elliemiles.wordpress.com/" TargetMode="External"/><Relationship Id="rId625" Type="http://schemas.openxmlformats.org/officeDocument/2006/relationships/hyperlink" Target="https://www.linkedin.com/in/gabrielle-heffernan-29578032?trk=hp-identity-name" TargetMode="External"/><Relationship Id="rId222" Type="http://schemas.openxmlformats.org/officeDocument/2006/relationships/hyperlink" Target="https://www.linkedin.com/in/dafjames" TargetMode="External"/><Relationship Id="rId264" Type="http://schemas.openxmlformats.org/officeDocument/2006/relationships/hyperlink" Target="https://twitter.com/eloisarod/status/1036597122605494272" TargetMode="External"/><Relationship Id="rId471" Type="http://schemas.openxmlformats.org/officeDocument/2006/relationships/hyperlink" Target="http://wordperhect.e-2.org/" TargetMode="External"/><Relationship Id="rId17" Type="http://schemas.openxmlformats.org/officeDocument/2006/relationships/hyperlink" Target="http://mima.art/" TargetMode="External"/><Relationship Id="rId59" Type="http://schemas.openxmlformats.org/officeDocument/2006/relationships/hyperlink" Target="http://criticalsteph.wordpress.com/" TargetMode="External"/><Relationship Id="rId124" Type="http://schemas.openxmlformats.org/officeDocument/2006/relationships/hyperlink" Target="http://www.dpconline.org/" TargetMode="External"/><Relationship Id="rId527" Type="http://schemas.openxmlformats.org/officeDocument/2006/relationships/hyperlink" Target="http://www.dri.ie/" TargetMode="External"/><Relationship Id="rId569" Type="http://schemas.openxmlformats.org/officeDocument/2006/relationships/hyperlink" Target="https://stonesofdublin.wordpress.com/" TargetMode="External"/><Relationship Id="rId70" Type="http://schemas.openxmlformats.org/officeDocument/2006/relationships/hyperlink" Target="https://pbs.twimg.com/media/DmLeaHdW0AEvN-V.jpg" TargetMode="External"/><Relationship Id="rId166" Type="http://schemas.openxmlformats.org/officeDocument/2006/relationships/hyperlink" Target="https://pbs.twimg.com/media/DmLJUhJWwAAn5PG.jpg" TargetMode="External"/><Relationship Id="rId331" Type="http://schemas.openxmlformats.org/officeDocument/2006/relationships/hyperlink" Target="http://criticalsteph.wordpress.com/" TargetMode="External"/><Relationship Id="rId373" Type="http://schemas.openxmlformats.org/officeDocument/2006/relationships/hyperlink" Target="http://www.gla.ac.uk/schools/humanities/staff/mariaeconomou/" TargetMode="External"/><Relationship Id="rId429" Type="http://schemas.openxmlformats.org/officeDocument/2006/relationships/hyperlink" Target="https://pbs.twimg.com/media/DmKZ3dmXsAAWs0A.jpg" TargetMode="External"/><Relationship Id="rId580" Type="http://schemas.openxmlformats.org/officeDocument/2006/relationships/hyperlink" Target="https://pbs.twimg.com/media/DmKOyCPW4AAZ-o_.jpg" TargetMode="External"/><Relationship Id="rId636" Type="http://schemas.openxmlformats.org/officeDocument/2006/relationships/hyperlink" Target="http://pic.twitter.com/ItPxVTnthe" TargetMode="External"/><Relationship Id="rId1" Type="http://schemas.openxmlformats.org/officeDocument/2006/relationships/hyperlink" Target="https://pbs.twimg.com/media/DmVD547XcAAUxJj.jpg" TargetMode="External"/><Relationship Id="rId233" Type="http://schemas.openxmlformats.org/officeDocument/2006/relationships/hyperlink" Target="http://www.gla.ac.uk/schools/humanities/staff/mariaeconomou/" TargetMode="External"/><Relationship Id="rId440" Type="http://schemas.openxmlformats.org/officeDocument/2006/relationships/hyperlink" Target="http://pic.twitter.com/z0SqT5ydaA" TargetMode="External"/><Relationship Id="rId28" Type="http://schemas.openxmlformats.org/officeDocument/2006/relationships/hyperlink" Target="http://www.leeds.gov.uk/museums" TargetMode="External"/><Relationship Id="rId275" Type="http://schemas.openxmlformats.org/officeDocument/2006/relationships/hyperlink" Target="http://www.dpconline.org/" TargetMode="External"/><Relationship Id="rId300" Type="http://schemas.openxmlformats.org/officeDocument/2006/relationships/hyperlink" Target="http://www.mardixon.com/" TargetMode="External"/><Relationship Id="rId482" Type="http://schemas.openxmlformats.org/officeDocument/2006/relationships/hyperlink" Target="https://pbs.twimg.com/media/DmKVbXuX4AAJ5cz.jpg" TargetMode="External"/><Relationship Id="rId538" Type="http://schemas.openxmlformats.org/officeDocument/2006/relationships/hyperlink" Target="https://pbs.twimg.com/media/DmKReNjXoAAxpxW.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3"/>
  <sheetViews>
    <sheetView workbookViewId="0"/>
  </sheetViews>
  <sheetFormatPr defaultColWidth="14.453125" defaultRowHeight="15.75" customHeight="1"/>
  <sheetData>
    <row r="1" spans="1:26" ht="15.75" customHeight="1">
      <c r="A1" s="1" t="s">
        <v>0</v>
      </c>
      <c r="B1" s="1" t="s">
        <v>2</v>
      </c>
      <c r="C1" s="2"/>
      <c r="D1" s="2"/>
      <c r="E1" s="2"/>
      <c r="F1" s="2"/>
      <c r="G1" s="2"/>
      <c r="H1" s="2"/>
      <c r="I1" s="2"/>
      <c r="J1" s="2"/>
      <c r="K1" s="2"/>
      <c r="L1" s="2"/>
      <c r="M1" s="2"/>
      <c r="N1" s="2"/>
      <c r="O1" s="2"/>
      <c r="P1" s="2"/>
      <c r="Q1" s="2"/>
      <c r="R1" s="2"/>
      <c r="S1" s="2"/>
      <c r="T1" s="2"/>
      <c r="U1" s="2"/>
      <c r="V1" s="2"/>
      <c r="W1" s="2"/>
      <c r="X1" s="2"/>
      <c r="Y1" s="2"/>
      <c r="Z1" s="2"/>
    </row>
    <row r="2" spans="1:26" ht="15.75" customHeight="1">
      <c r="A2" s="3">
        <v>43350.259052604168</v>
      </c>
      <c r="B2" s="5" t="s">
        <v>4</v>
      </c>
    </row>
    <row r="3" spans="1:26" ht="15.75" customHeight="1">
      <c r="A3" s="3">
        <v>43350.25905518519</v>
      </c>
      <c r="B3" s="5"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U520"/>
  <sheetViews>
    <sheetView tabSelected="1" workbookViewId="0">
      <pane ySplit="2" topLeftCell="A3" activePane="bottomLeft" state="frozen"/>
      <selection pane="bottomLeft" activeCell="A3" sqref="A3"/>
    </sheetView>
  </sheetViews>
  <sheetFormatPr defaultColWidth="14.453125" defaultRowHeight="15.75" customHeight="1"/>
  <cols>
    <col min="1" max="1" width="15.26953125" customWidth="1"/>
    <col min="3" max="3" width="16.26953125" customWidth="1"/>
    <col min="4" max="4" width="41.54296875" customWidth="1"/>
    <col min="5" max="5" width="17.7265625" customWidth="1"/>
    <col min="6" max="11" width="16.08984375" customWidth="1"/>
    <col min="12" max="16" width="11.08984375" customWidth="1"/>
    <col min="18" max="18" width="34.26953125" customWidth="1"/>
    <col min="19" max="19" width="19.7265625" customWidth="1"/>
    <col min="20" max="21" width="12" customWidth="1"/>
  </cols>
  <sheetData>
    <row r="1" spans="1:21" ht="25.5" customHeight="1">
      <c r="A1" s="30" t="s">
        <v>1</v>
      </c>
      <c r="B1" s="31"/>
      <c r="C1" s="31"/>
      <c r="D1" s="31"/>
      <c r="E1" s="31"/>
      <c r="F1" s="31"/>
      <c r="G1" s="31"/>
      <c r="H1" s="31"/>
      <c r="I1" s="31"/>
      <c r="J1" s="31"/>
      <c r="K1" s="31"/>
      <c r="L1" s="32" t="s">
        <v>3</v>
      </c>
      <c r="M1" s="31"/>
      <c r="N1" s="31"/>
      <c r="O1" s="31"/>
      <c r="P1" s="31"/>
      <c r="Q1" s="31"/>
      <c r="R1" s="31"/>
      <c r="S1" s="31"/>
      <c r="T1" s="31"/>
      <c r="U1" s="31"/>
    </row>
    <row r="2" spans="1:21" ht="29.25" customHeight="1">
      <c r="A2" s="4" t="s">
        <v>0</v>
      </c>
      <c r="B2" s="6" t="s">
        <v>5</v>
      </c>
      <c r="C2" s="6" t="s">
        <v>7</v>
      </c>
      <c r="D2" s="7" t="s">
        <v>8</v>
      </c>
      <c r="E2" s="8" t="s">
        <v>9</v>
      </c>
      <c r="F2" s="8" t="s">
        <v>10</v>
      </c>
      <c r="G2" s="8" t="s">
        <v>11</v>
      </c>
      <c r="H2" s="8" t="s">
        <v>12</v>
      </c>
      <c r="I2" s="6" t="s">
        <v>13</v>
      </c>
      <c r="J2" s="6" t="s">
        <v>14</v>
      </c>
      <c r="K2" s="8" t="s">
        <v>15</v>
      </c>
      <c r="L2" s="6" t="s">
        <v>16</v>
      </c>
      <c r="M2" s="6" t="s">
        <v>17</v>
      </c>
      <c r="N2" s="8" t="s">
        <v>18</v>
      </c>
      <c r="O2" s="8" t="s">
        <v>19</v>
      </c>
      <c r="P2" s="8" t="s">
        <v>20</v>
      </c>
      <c r="Q2" s="8" t="s">
        <v>12</v>
      </c>
      <c r="R2" s="9" t="s">
        <v>21</v>
      </c>
      <c r="S2" s="8" t="s">
        <v>22</v>
      </c>
      <c r="T2" s="8" t="s">
        <v>23</v>
      </c>
      <c r="U2" s="8" t="s">
        <v>24</v>
      </c>
    </row>
    <row r="3" spans="1:21" ht="40">
      <c r="A3" s="10">
        <v>43348.210011574076</v>
      </c>
      <c r="B3" s="11" t="str">
        <f>HYPERLINK("https://twitter.com/lauraslaguiar","@lauraslaguiar")</f>
        <v>@lauraslaguiar</v>
      </c>
      <c r="C3" s="12" t="s">
        <v>25</v>
      </c>
      <c r="D3" s="13" t="s">
        <v>26</v>
      </c>
      <c r="E3" s="14" t="str">
        <f>HYPERLINK("https://twitter.com/lauraslaguiar/status/1037309977294196746","1037309977294196746")</f>
        <v>1037309977294196746</v>
      </c>
      <c r="F3" s="15"/>
      <c r="G3" s="16" t="s">
        <v>27</v>
      </c>
      <c r="H3" s="15"/>
      <c r="I3" s="17">
        <v>0</v>
      </c>
      <c r="J3" s="17">
        <v>5</v>
      </c>
      <c r="K3" s="18" t="str">
        <f>HYPERLINK("http://twitter.com/download/android","Twitter for Android")</f>
        <v>Twitter for Android</v>
      </c>
      <c r="L3" s="17">
        <v>351</v>
      </c>
      <c r="M3" s="17">
        <v>700</v>
      </c>
      <c r="N3" s="17">
        <v>6</v>
      </c>
      <c r="O3" s="19"/>
      <c r="P3" s="10">
        <v>42902.110092592593</v>
      </c>
      <c r="Q3" s="20" t="s">
        <v>28</v>
      </c>
      <c r="R3" s="21" t="s">
        <v>29</v>
      </c>
      <c r="S3" s="16" t="s">
        <v>30</v>
      </c>
      <c r="T3" s="15"/>
      <c r="U3" s="14" t="str">
        <f>HYPERLINK("https://pbs.twimg.com/profile_images/876020332418793472/bM7TBE4E.jpg","View")</f>
        <v>View</v>
      </c>
    </row>
    <row r="4" spans="1:21" ht="40">
      <c r="A4" s="10">
        <v>43348.05741898148</v>
      </c>
      <c r="B4" s="11" t="str">
        <f>HYPERLINK("https://twitter.com/imasolutions3d","@imasolutions3d")</f>
        <v>@imasolutions3d</v>
      </c>
      <c r="C4" s="12" t="s">
        <v>31</v>
      </c>
      <c r="D4" s="13" t="s">
        <v>32</v>
      </c>
      <c r="E4" s="14" t="str">
        <f>HYPERLINK("https://twitter.com/imasolutions3d/status/1037254680362057728","1037254680362057728")</f>
        <v>1037254680362057728</v>
      </c>
      <c r="F4" s="15"/>
      <c r="G4" s="16" t="s">
        <v>33</v>
      </c>
      <c r="H4" s="15"/>
      <c r="I4" s="17">
        <v>1</v>
      </c>
      <c r="J4" s="17">
        <v>4</v>
      </c>
      <c r="K4" s="18" t="str">
        <f t="shared" ref="K4:K5" si="0">HYPERLINK("http://twitter.com/download/iphone","Twitter for iPhone")</f>
        <v>Twitter for iPhone</v>
      </c>
      <c r="L4" s="17">
        <v>165</v>
      </c>
      <c r="M4" s="17">
        <v>176</v>
      </c>
      <c r="N4" s="17">
        <v>5</v>
      </c>
      <c r="O4" s="19"/>
      <c r="P4" s="10">
        <v>40006.618842592594</v>
      </c>
      <c r="Q4" s="20" t="s">
        <v>34</v>
      </c>
      <c r="R4" s="21" t="s">
        <v>35</v>
      </c>
      <c r="S4" s="16" t="s">
        <v>36</v>
      </c>
      <c r="T4" s="15"/>
      <c r="U4" s="14" t="str">
        <f>HYPERLINK("https://pbs.twimg.com/profile_images/1930776324/logo_google_.jpg","View")</f>
        <v>View</v>
      </c>
    </row>
    <row r="5" spans="1:21" ht="80">
      <c r="A5" s="10">
        <v>43348.041678240741</v>
      </c>
      <c r="B5" s="11" t="str">
        <f>HYPERLINK("https://twitter.com/Cara_Hirst","@Cara_Hirst")</f>
        <v>@Cara_Hirst</v>
      </c>
      <c r="C5" s="12" t="s">
        <v>37</v>
      </c>
      <c r="D5" s="13" t="s">
        <v>38</v>
      </c>
      <c r="E5" s="14" t="str">
        <f>HYPERLINK("https://twitter.com/Cara_Hirst/status/1037248975928287233","1037248975928287233")</f>
        <v>1037248975928287233</v>
      </c>
      <c r="F5" s="16" t="s">
        <v>39</v>
      </c>
      <c r="G5" s="16" t="s">
        <v>40</v>
      </c>
      <c r="H5" s="15"/>
      <c r="I5" s="17">
        <v>0</v>
      </c>
      <c r="J5" s="17">
        <v>2</v>
      </c>
      <c r="K5" s="18" t="str">
        <f t="shared" si="0"/>
        <v>Twitter for iPhone</v>
      </c>
      <c r="L5" s="17">
        <v>107</v>
      </c>
      <c r="M5" s="17">
        <v>126</v>
      </c>
      <c r="N5" s="17">
        <v>0</v>
      </c>
      <c r="O5" s="19"/>
      <c r="P5" s="10">
        <v>42876.36414351852</v>
      </c>
      <c r="Q5" s="20" t="s">
        <v>41</v>
      </c>
      <c r="R5" s="21" t="s">
        <v>42</v>
      </c>
      <c r="S5" s="16" t="s">
        <v>43</v>
      </c>
      <c r="T5" s="15"/>
      <c r="U5" s="14" t="str">
        <f>HYPERLINK("https://pbs.twimg.com/profile_images/1010580953029324800/pVaxjC1u.jpg","View")</f>
        <v>View</v>
      </c>
    </row>
    <row r="6" spans="1:21" ht="100">
      <c r="A6" s="10">
        <v>43348.030057870375</v>
      </c>
      <c r="B6" s="11" t="str">
        <f>HYPERLINK("https://twitter.com/GlennCumiskey","@GlennCumiskey")</f>
        <v>@GlennCumiskey</v>
      </c>
      <c r="C6" s="12" t="s">
        <v>44</v>
      </c>
      <c r="D6" s="13" t="s">
        <v>45</v>
      </c>
      <c r="E6" s="14" t="str">
        <f>HYPERLINK("https://twitter.com/GlennCumiskey/status/1037244764524093441","1037244764524093441")</f>
        <v>1037244764524093441</v>
      </c>
      <c r="F6" s="16" t="s">
        <v>46</v>
      </c>
      <c r="G6" s="15"/>
      <c r="H6" s="15"/>
      <c r="I6" s="17">
        <v>4</v>
      </c>
      <c r="J6" s="17">
        <v>16</v>
      </c>
      <c r="K6" s="18" t="str">
        <f>HYPERLINK("http://twitter.com","Twitter Web Client")</f>
        <v>Twitter Web Client</v>
      </c>
      <c r="L6" s="17">
        <v>745</v>
      </c>
      <c r="M6" s="17">
        <v>981</v>
      </c>
      <c r="N6" s="17">
        <v>20</v>
      </c>
      <c r="O6" s="19"/>
      <c r="P6" s="10">
        <v>42144.285949074074</v>
      </c>
      <c r="Q6" s="20" t="s">
        <v>41</v>
      </c>
      <c r="R6" s="21" t="s">
        <v>47</v>
      </c>
      <c r="S6" s="16" t="s">
        <v>48</v>
      </c>
      <c r="T6" s="15"/>
      <c r="U6" s="14" t="str">
        <f>HYPERLINK("https://pbs.twimg.com/profile_images/601028262463197186/84Oaa8F-.jpg","View")</f>
        <v>View</v>
      </c>
    </row>
    <row r="7" spans="1:21" ht="60">
      <c r="A7" s="10">
        <v>43348.024004629631</v>
      </c>
      <c r="B7" s="11" t="str">
        <f>HYPERLINK("https://twitter.com/WilliamKilbride","@WilliamKilbride")</f>
        <v>@WilliamKilbride</v>
      </c>
      <c r="C7" s="12" t="s">
        <v>49</v>
      </c>
      <c r="D7" s="13" t="s">
        <v>50</v>
      </c>
      <c r="E7" s="14" t="str">
        <f>HYPERLINK("https://twitter.com/WilliamKilbride/status/1037242571104370689","1037242571104370689")</f>
        <v>1037242571104370689</v>
      </c>
      <c r="F7" s="15"/>
      <c r="G7" s="15"/>
      <c r="H7" s="15"/>
      <c r="I7" s="17">
        <v>3</v>
      </c>
      <c r="J7" s="17">
        <v>16</v>
      </c>
      <c r="K7" s="18" t="str">
        <f>HYPERLINK("http://twitter.com/download/android","Twitter for Android")</f>
        <v>Twitter for Android</v>
      </c>
      <c r="L7" s="17">
        <v>3065</v>
      </c>
      <c r="M7" s="17">
        <v>582</v>
      </c>
      <c r="N7" s="17">
        <v>180</v>
      </c>
      <c r="O7" s="19"/>
      <c r="P7" s="10">
        <v>39917.310949074075</v>
      </c>
      <c r="Q7" s="20" t="s">
        <v>51</v>
      </c>
      <c r="R7" s="21" t="s">
        <v>52</v>
      </c>
      <c r="S7" s="16" t="s">
        <v>53</v>
      </c>
      <c r="T7" s="15"/>
      <c r="U7" s="14" t="str">
        <f>HYPERLINK("https://pbs.twimg.com/profile_images/606802634499080192/ZWLKLGdh.png","View")</f>
        <v>View</v>
      </c>
    </row>
    <row r="8" spans="1:21" ht="60">
      <c r="A8" s="10">
        <v>43347.133553240739</v>
      </c>
      <c r="B8" s="11" t="str">
        <f>HYPERLINK("https://twitter.com/HLFLondon","@HLFLondon")</f>
        <v>@HLFLondon</v>
      </c>
      <c r="C8" s="12" t="s">
        <v>54</v>
      </c>
      <c r="D8" s="13" t="s">
        <v>55</v>
      </c>
      <c r="E8" s="14" t="str">
        <f>HYPERLINK("https://twitter.com/HLFLondon/status/1036919883399880704","1036919883399880704")</f>
        <v>1036919883399880704</v>
      </c>
      <c r="F8" s="15"/>
      <c r="G8" s="15"/>
      <c r="H8" s="15"/>
      <c r="I8" s="17">
        <v>3</v>
      </c>
      <c r="J8" s="17">
        <v>10</v>
      </c>
      <c r="K8" s="18" t="str">
        <f>HYPERLINK("http://twitter.com/download/iphone","Twitter for iPhone")</f>
        <v>Twitter for iPhone</v>
      </c>
      <c r="L8" s="17">
        <v>3962</v>
      </c>
      <c r="M8" s="17">
        <v>1516</v>
      </c>
      <c r="N8" s="17">
        <v>74</v>
      </c>
      <c r="O8" s="19"/>
      <c r="P8" s="10">
        <v>41442.105706018519</v>
      </c>
      <c r="Q8" s="20" t="s">
        <v>56</v>
      </c>
      <c r="R8" s="21" t="s">
        <v>57</v>
      </c>
      <c r="S8" s="16" t="s">
        <v>58</v>
      </c>
      <c r="T8" s="15"/>
      <c r="U8" s="14" t="str">
        <f>HYPERLINK("https://pbs.twimg.com/profile_images/694839380582764544/6N71IZbb.jpg","View")</f>
        <v>View</v>
      </c>
    </row>
    <row r="9" spans="1:21" ht="60">
      <c r="A9" s="10">
        <v>43347.070856481485</v>
      </c>
      <c r="B9" s="11" t="str">
        <f>HYPERLINK("https://twitter.com/natalieharrower","@natalieharrower")</f>
        <v>@natalieharrower</v>
      </c>
      <c r="C9" s="12" t="s">
        <v>59</v>
      </c>
      <c r="D9" s="13" t="s">
        <v>60</v>
      </c>
      <c r="E9" s="14" t="str">
        <f>HYPERLINK("https://twitter.com/natalieharrower/status/1036897160833449984","1036897160833449984")</f>
        <v>1036897160833449984</v>
      </c>
      <c r="F9" s="15"/>
      <c r="G9" s="15"/>
      <c r="H9" s="15"/>
      <c r="I9" s="17">
        <v>5</v>
      </c>
      <c r="J9" s="17">
        <v>12</v>
      </c>
      <c r="K9" s="18" t="str">
        <f>HYPERLINK("http://twitter.com","Twitter Web Client")</f>
        <v>Twitter Web Client</v>
      </c>
      <c r="L9" s="17">
        <v>2422</v>
      </c>
      <c r="M9" s="17">
        <v>2344</v>
      </c>
      <c r="N9" s="17">
        <v>164</v>
      </c>
      <c r="O9" s="19"/>
      <c r="P9" s="10">
        <v>39751.545844907407</v>
      </c>
      <c r="Q9" s="20" t="s">
        <v>61</v>
      </c>
      <c r="R9" s="21" t="s">
        <v>62</v>
      </c>
      <c r="S9" s="16" t="s">
        <v>63</v>
      </c>
      <c r="T9" s="15"/>
      <c r="U9" s="14" t="str">
        <f>HYPERLINK("https://pbs.twimg.com/profile_images/992918977172000769/pPUq69N4.jpg","View")</f>
        <v>View</v>
      </c>
    </row>
    <row r="10" spans="1:21" ht="40">
      <c r="A10" s="10">
        <v>43346.963067129633</v>
      </c>
      <c r="B10" s="11" t="str">
        <f>HYPERLINK("https://twitter.com/imasolutions3d","@imasolutions3d")</f>
        <v>@imasolutions3d</v>
      </c>
      <c r="C10" s="12" t="s">
        <v>31</v>
      </c>
      <c r="D10" s="13" t="s">
        <v>64</v>
      </c>
      <c r="E10" s="14" t="str">
        <f>HYPERLINK("https://twitter.com/imasolutions3d/status/1036858097980125184","1036858097980125184")</f>
        <v>1036858097980125184</v>
      </c>
      <c r="F10" s="15"/>
      <c r="G10" s="16" t="s">
        <v>65</v>
      </c>
      <c r="H10" s="15"/>
      <c r="I10" s="17">
        <v>0</v>
      </c>
      <c r="J10" s="17">
        <v>5</v>
      </c>
      <c r="K10" s="18" t="str">
        <f>HYPERLINK("http://twitter.com/download/iphone","Twitter for iPhone")</f>
        <v>Twitter for iPhone</v>
      </c>
      <c r="L10" s="17">
        <v>165</v>
      </c>
      <c r="M10" s="17">
        <v>176</v>
      </c>
      <c r="N10" s="17">
        <v>5</v>
      </c>
      <c r="O10" s="19"/>
      <c r="P10" s="10">
        <v>40006.618842592594</v>
      </c>
      <c r="Q10" s="20" t="s">
        <v>34</v>
      </c>
      <c r="R10" s="21" t="s">
        <v>35</v>
      </c>
      <c r="S10" s="16" t="s">
        <v>36</v>
      </c>
      <c r="T10" s="15"/>
      <c r="U10" s="14" t="str">
        <f>HYPERLINK("https://pbs.twimg.com/profile_images/1930776324/logo_google_.jpg","View")</f>
        <v>View</v>
      </c>
    </row>
    <row r="11" spans="1:21" ht="40">
      <c r="A11" s="10">
        <v>43346.563263888893</v>
      </c>
      <c r="B11" s="11" t="str">
        <f t="shared" ref="B11:B12" si="1">HYPERLINK("https://twitter.com/JenMabbott","@JenMabbott")</f>
        <v>@JenMabbott</v>
      </c>
      <c r="C11" s="12" t="s">
        <v>66</v>
      </c>
      <c r="D11" s="13" t="s">
        <v>67</v>
      </c>
      <c r="E11" s="14" t="str">
        <f>HYPERLINK("https://twitter.com/JenMabbott/status/1036713215617654784","1036713215617654784")</f>
        <v>1036713215617654784</v>
      </c>
      <c r="F11" s="16" t="s">
        <v>68</v>
      </c>
      <c r="G11" s="15"/>
      <c r="H11" s="15"/>
      <c r="I11" s="17">
        <v>1</v>
      </c>
      <c r="J11" s="17">
        <v>7</v>
      </c>
      <c r="K11" s="18" t="str">
        <f t="shared" ref="K11:K12" si="2">HYPERLINK("http://twitter.com/download/android","Twitter for Android")</f>
        <v>Twitter for Android</v>
      </c>
      <c r="L11" s="17">
        <v>1188</v>
      </c>
      <c r="M11" s="17">
        <v>2009</v>
      </c>
      <c r="N11" s="17">
        <v>27</v>
      </c>
      <c r="O11" s="19"/>
      <c r="P11" s="10">
        <v>40624.40388888889</v>
      </c>
      <c r="Q11" s="20" t="s">
        <v>69</v>
      </c>
      <c r="R11" s="21" t="s">
        <v>70</v>
      </c>
      <c r="S11" s="15"/>
      <c r="T11" s="15"/>
      <c r="U11" s="14" t="str">
        <f t="shared" ref="U11:U12" si="3">HYPERLINK("https://pbs.twimg.com/profile_images/1002681272127426561/z9og3O9C.jpg","View")</f>
        <v>View</v>
      </c>
    </row>
    <row r="12" spans="1:21" ht="50">
      <c r="A12" s="10">
        <v>43346.562106481477</v>
      </c>
      <c r="B12" s="11" t="str">
        <f t="shared" si="1"/>
        <v>@JenMabbott</v>
      </c>
      <c r="C12" s="12" t="s">
        <v>66</v>
      </c>
      <c r="D12" s="13" t="s">
        <v>71</v>
      </c>
      <c r="E12" s="14" t="str">
        <f>HYPERLINK("https://twitter.com/JenMabbott/status/1036712794589208576","1036712794589208576")</f>
        <v>1036712794589208576</v>
      </c>
      <c r="F12" s="15"/>
      <c r="G12" s="15"/>
      <c r="H12" s="15"/>
      <c r="I12" s="17">
        <v>1</v>
      </c>
      <c r="J12" s="17">
        <v>4</v>
      </c>
      <c r="K12" s="18" t="str">
        <f t="shared" si="2"/>
        <v>Twitter for Android</v>
      </c>
      <c r="L12" s="17">
        <v>1188</v>
      </c>
      <c r="M12" s="17">
        <v>2009</v>
      </c>
      <c r="N12" s="17">
        <v>27</v>
      </c>
      <c r="O12" s="19"/>
      <c r="P12" s="10">
        <v>40624.40388888889</v>
      </c>
      <c r="Q12" s="20" t="s">
        <v>69</v>
      </c>
      <c r="R12" s="21" t="s">
        <v>70</v>
      </c>
      <c r="S12" s="15"/>
      <c r="T12" s="15"/>
      <c r="U12" s="14" t="str">
        <f t="shared" si="3"/>
        <v>View</v>
      </c>
    </row>
    <row r="13" spans="1:21" ht="40">
      <c r="A13" s="10">
        <v>43346.558564814812</v>
      </c>
      <c r="B13" s="11" t="str">
        <f>HYPERLINK("https://twitter.com/mimacurator","@mimacurator")</f>
        <v>@mimacurator</v>
      </c>
      <c r="C13" s="12" t="s">
        <v>72</v>
      </c>
      <c r="D13" s="13" t="s">
        <v>73</v>
      </c>
      <c r="E13" s="14" t="str">
        <f>HYPERLINK("https://twitter.com/mimacurator/status/1036711511480315909","1036711511480315909")</f>
        <v>1036711511480315909</v>
      </c>
      <c r="F13" s="15"/>
      <c r="G13" s="16" t="s">
        <v>74</v>
      </c>
      <c r="H13" s="15"/>
      <c r="I13" s="17">
        <v>1</v>
      </c>
      <c r="J13" s="17">
        <v>3</v>
      </c>
      <c r="K13" s="18" t="str">
        <f t="shared" ref="K13:K14" si="4">HYPERLINK("http://twitter.com/download/iphone","Twitter for iPhone")</f>
        <v>Twitter for iPhone</v>
      </c>
      <c r="L13" s="17">
        <v>1485</v>
      </c>
      <c r="M13" s="17">
        <v>1545</v>
      </c>
      <c r="N13" s="17">
        <v>17</v>
      </c>
      <c r="O13" s="19"/>
      <c r="P13" s="10">
        <v>42158.364062499997</v>
      </c>
      <c r="Q13" s="20" t="s">
        <v>75</v>
      </c>
      <c r="R13" s="21" t="s">
        <v>76</v>
      </c>
      <c r="S13" s="16" t="s">
        <v>77</v>
      </c>
      <c r="T13" s="15"/>
      <c r="U13" s="14" t="str">
        <f>HYPERLINK("https://pbs.twimg.com/profile_images/999402990707531776/aIqt6a1B.jpg","View")</f>
        <v>View</v>
      </c>
    </row>
    <row r="14" spans="1:21" ht="30">
      <c r="A14" s="10">
        <v>43346.501157407409</v>
      </c>
      <c r="B14" s="11" t="str">
        <f>HYPERLINK("https://twitter.com/ariasmariap","@ariasmariap")</f>
        <v>@ariasmariap</v>
      </c>
      <c r="C14" s="12" t="s">
        <v>78</v>
      </c>
      <c r="D14" s="13" t="s">
        <v>79</v>
      </c>
      <c r="E14" s="14" t="str">
        <f>HYPERLINK("https://twitter.com/ariasmariap/status/1036690708554571777","1036690708554571777")</f>
        <v>1036690708554571777</v>
      </c>
      <c r="F14" s="15"/>
      <c r="G14" s="16" t="s">
        <v>80</v>
      </c>
      <c r="H14" s="15"/>
      <c r="I14" s="17">
        <v>1</v>
      </c>
      <c r="J14" s="17">
        <v>4</v>
      </c>
      <c r="K14" s="18" t="str">
        <f t="shared" si="4"/>
        <v>Twitter for iPhone</v>
      </c>
      <c r="L14" s="17">
        <v>701</v>
      </c>
      <c r="M14" s="17">
        <v>1482</v>
      </c>
      <c r="N14" s="17">
        <v>30</v>
      </c>
      <c r="O14" s="19"/>
      <c r="P14" s="10">
        <v>40598.646608796298</v>
      </c>
      <c r="Q14" s="20" t="s">
        <v>69</v>
      </c>
      <c r="R14" s="21" t="s">
        <v>81</v>
      </c>
      <c r="S14" s="16" t="s">
        <v>82</v>
      </c>
      <c r="T14" s="15"/>
      <c r="U14" s="14" t="str">
        <f>HYPERLINK("https://pbs.twimg.com/profile_images/960267047631491074/kA0rW9c9.jpg","View")</f>
        <v>View</v>
      </c>
    </row>
    <row r="15" spans="1:21" ht="60">
      <c r="A15" s="10">
        <v>43346.49082175926</v>
      </c>
      <c r="B15" s="11" t="str">
        <f>HYPERLINK("https://twitter.com/James_E_Miles","@James_E_Miles")</f>
        <v>@James_E_Miles</v>
      </c>
      <c r="C15" s="12" t="s">
        <v>83</v>
      </c>
      <c r="D15" s="13" t="s">
        <v>84</v>
      </c>
      <c r="E15" s="14" t="str">
        <f>HYPERLINK("https://twitter.com/James_E_Miles/status/1036686965389905922","1036686965389905922")</f>
        <v>1036686965389905922</v>
      </c>
      <c r="F15" s="15"/>
      <c r="G15" s="15"/>
      <c r="H15" s="15"/>
      <c r="I15" s="17">
        <v>1</v>
      </c>
      <c r="J15" s="17">
        <v>8</v>
      </c>
      <c r="K15" s="18" t="str">
        <f>HYPERLINK("https://about.twitter.com/products/tweetdeck","TweetDeck")</f>
        <v>TweetDeck</v>
      </c>
      <c r="L15" s="17">
        <v>455</v>
      </c>
      <c r="M15" s="17">
        <v>111</v>
      </c>
      <c r="N15" s="17">
        <v>16</v>
      </c>
      <c r="O15" s="19"/>
      <c r="P15" s="10">
        <v>40076.726817129631</v>
      </c>
      <c r="Q15" s="20" t="s">
        <v>85</v>
      </c>
      <c r="R15" s="21" t="s">
        <v>86</v>
      </c>
      <c r="S15" s="15"/>
      <c r="T15" s="15"/>
      <c r="U15" s="14" t="str">
        <f>HYPERLINK("https://pbs.twimg.com/profile_images/489734028530970624/-NBjGWtN.jpeg","View")</f>
        <v>View</v>
      </c>
    </row>
    <row r="16" spans="1:21" ht="40">
      <c r="A16" s="10">
        <v>43346.478506944448</v>
      </c>
      <c r="B16" s="11" t="str">
        <f>HYPERLINK("https://twitter.com/sarahyounas","@sarahyounas")</f>
        <v>@sarahyounas</v>
      </c>
      <c r="C16" s="12" t="s">
        <v>87</v>
      </c>
      <c r="D16" s="13" t="s">
        <v>88</v>
      </c>
      <c r="E16" s="14" t="str">
        <f>HYPERLINK("https://twitter.com/sarahyounas/status/1036682502151266304","1036682502151266304")</f>
        <v>1036682502151266304</v>
      </c>
      <c r="F16" s="15"/>
      <c r="G16" s="15"/>
      <c r="H16" s="15"/>
      <c r="I16" s="17">
        <v>0</v>
      </c>
      <c r="J16" s="17">
        <v>8</v>
      </c>
      <c r="K16" s="18" t="str">
        <f>HYPERLINK("http://twitter.com/download/iphone","Twitter for iPhone")</f>
        <v>Twitter for iPhone</v>
      </c>
      <c r="L16" s="17">
        <v>73</v>
      </c>
      <c r="M16" s="17">
        <v>162</v>
      </c>
      <c r="N16" s="17">
        <v>3</v>
      </c>
      <c r="O16" s="19"/>
      <c r="P16" s="10">
        <v>42327.213217592594</v>
      </c>
      <c r="Q16" s="20" t="s">
        <v>89</v>
      </c>
      <c r="R16" s="21" t="s">
        <v>90</v>
      </c>
      <c r="S16" s="15"/>
      <c r="T16" s="15"/>
      <c r="U16" s="14" t="str">
        <f>HYPERLINK("https://pbs.twimg.com/profile_images/667329279592648704/mlEJxIaj.jpg","View")</f>
        <v>View</v>
      </c>
    </row>
    <row r="17" spans="1:21" ht="40">
      <c r="A17" s="10">
        <v>43346.478391203702</v>
      </c>
      <c r="B17" s="11" t="str">
        <f>HYPERLINK("https://twitter.com/CuratorGeoff","@CuratorGeoff")</f>
        <v>@CuratorGeoff</v>
      </c>
      <c r="C17" s="12" t="s">
        <v>91</v>
      </c>
      <c r="D17" s="13" t="s">
        <v>92</v>
      </c>
      <c r="E17" s="14" t="str">
        <f>HYPERLINK("https://twitter.com/CuratorGeoff/status/1036682458668912641","1036682458668912641")</f>
        <v>1036682458668912641</v>
      </c>
      <c r="F17" s="15"/>
      <c r="G17" s="15"/>
      <c r="H17" s="15"/>
      <c r="I17" s="17">
        <v>2</v>
      </c>
      <c r="J17" s="17">
        <v>11</v>
      </c>
      <c r="K17" s="18" t="str">
        <f>HYPERLINK("http://twitter.com/download/android","Twitter for Android")</f>
        <v>Twitter for Android</v>
      </c>
      <c r="L17" s="17">
        <v>1159</v>
      </c>
      <c r="M17" s="17">
        <v>1118</v>
      </c>
      <c r="N17" s="17">
        <v>28</v>
      </c>
      <c r="O17" s="19"/>
      <c r="P17" s="10">
        <v>41479.26697916667</v>
      </c>
      <c r="Q17" s="15"/>
      <c r="R17" s="21" t="s">
        <v>93</v>
      </c>
      <c r="S17" s="16" t="s">
        <v>94</v>
      </c>
      <c r="T17" s="15"/>
      <c r="U17" s="14" t="str">
        <f>HYPERLINK("https://pbs.twimg.com/profile_images/750988576398184448/jl5vXWNh.jpg","View")</f>
        <v>View</v>
      </c>
    </row>
    <row r="18" spans="1:21" ht="50">
      <c r="A18" s="10">
        <v>43346.463402777779</v>
      </c>
      <c r="B18" s="11" t="str">
        <f>HYPERLINK("https://twitter.com/_LizBot_","@_LizBot_")</f>
        <v>@_LizBot_</v>
      </c>
      <c r="C18" s="12" t="s">
        <v>95</v>
      </c>
      <c r="D18" s="13" t="s">
        <v>96</v>
      </c>
      <c r="E18" s="14" t="str">
        <f>HYPERLINK("https://twitter.com/_LizBot_/status/1036677027800272896","1036677027800272896")</f>
        <v>1036677027800272896</v>
      </c>
      <c r="F18" s="15"/>
      <c r="G18" s="15"/>
      <c r="H18" s="15"/>
      <c r="I18" s="17">
        <v>2</v>
      </c>
      <c r="J18" s="17">
        <v>9</v>
      </c>
      <c r="K18" s="18" t="str">
        <f t="shared" ref="K18:K20" si="5">HYPERLINK("http://twitter.com/download/iphone","Twitter for iPhone")</f>
        <v>Twitter for iPhone</v>
      </c>
      <c r="L18" s="17">
        <v>177</v>
      </c>
      <c r="M18" s="17">
        <v>529</v>
      </c>
      <c r="N18" s="17">
        <v>5</v>
      </c>
      <c r="O18" s="19"/>
      <c r="P18" s="10">
        <v>40753.52721064815</v>
      </c>
      <c r="Q18" s="20" t="s">
        <v>97</v>
      </c>
      <c r="R18" s="21" t="s">
        <v>98</v>
      </c>
      <c r="S18" s="15"/>
      <c r="T18" s="15"/>
      <c r="U18" s="14" t="str">
        <f>HYPERLINK("https://pbs.twimg.com/profile_images/990317866816851968/ckbPwutI.jpg","View")</f>
        <v>View</v>
      </c>
    </row>
    <row r="19" spans="1:21" ht="50">
      <c r="A19" s="10">
        <v>43346.460150462968</v>
      </c>
      <c r="B19" s="11" t="str">
        <f>HYPERLINK("https://twitter.com/HiImpactSimon","@HiImpactSimon")</f>
        <v>@HiImpactSimon</v>
      </c>
      <c r="C19" s="12" t="s">
        <v>99</v>
      </c>
      <c r="D19" s="13" t="s">
        <v>100</v>
      </c>
      <c r="E19" s="14" t="str">
        <f>HYPERLINK("https://twitter.com/HiImpactSimon/status/1036675847183388672","1036675847183388672")</f>
        <v>1036675847183388672</v>
      </c>
      <c r="F19" s="15"/>
      <c r="G19" s="16" t="s">
        <v>101</v>
      </c>
      <c r="H19" s="15"/>
      <c r="I19" s="17">
        <v>1</v>
      </c>
      <c r="J19" s="17">
        <v>6</v>
      </c>
      <c r="K19" s="18" t="str">
        <f t="shared" si="5"/>
        <v>Twitter for iPhone</v>
      </c>
      <c r="L19" s="17">
        <v>1035</v>
      </c>
      <c r="M19" s="17">
        <v>1581</v>
      </c>
      <c r="N19" s="17">
        <v>139</v>
      </c>
      <c r="O19" s="19"/>
      <c r="P19" s="10">
        <v>40856.547673611109</v>
      </c>
      <c r="Q19" s="20" t="s">
        <v>102</v>
      </c>
      <c r="R19" s="21" t="s">
        <v>103</v>
      </c>
      <c r="S19" s="16" t="s">
        <v>104</v>
      </c>
      <c r="T19" s="15"/>
      <c r="U19" s="14" t="str">
        <f>HYPERLINK("https://pbs.twimg.com/profile_images/1036673707341742080/t0dSK5HI.jpg","View")</f>
        <v>View</v>
      </c>
    </row>
    <row r="20" spans="1:21" ht="80">
      <c r="A20" s="10">
        <v>43346.45380787037</v>
      </c>
      <c r="B20" s="11" t="str">
        <f>HYPERLINK("https://twitter.com/NicolePMeehan","@NicolePMeehan")</f>
        <v>@NicolePMeehan</v>
      </c>
      <c r="C20" s="12" t="s">
        <v>105</v>
      </c>
      <c r="D20" s="13" t="s">
        <v>106</v>
      </c>
      <c r="E20" s="14" t="str">
        <f>HYPERLINK("https://twitter.com/NicolePMeehan/status/1036673548511838209","1036673548511838209")</f>
        <v>1036673548511838209</v>
      </c>
      <c r="F20" s="16" t="s">
        <v>107</v>
      </c>
      <c r="G20" s="16" t="s">
        <v>108</v>
      </c>
      <c r="H20" s="15"/>
      <c r="I20" s="17">
        <v>2</v>
      </c>
      <c r="J20" s="17">
        <v>10</v>
      </c>
      <c r="K20" s="18" t="str">
        <f t="shared" si="5"/>
        <v>Twitter for iPhone</v>
      </c>
      <c r="L20" s="17">
        <v>221</v>
      </c>
      <c r="M20" s="17">
        <v>167</v>
      </c>
      <c r="N20" s="17">
        <v>8</v>
      </c>
      <c r="O20" s="19"/>
      <c r="P20" s="10">
        <v>40180.658402777779</v>
      </c>
      <c r="Q20" s="20" t="s">
        <v>109</v>
      </c>
      <c r="R20" s="21" t="s">
        <v>110</v>
      </c>
      <c r="S20" s="16" t="s">
        <v>111</v>
      </c>
      <c r="T20" s="15"/>
      <c r="U20" s="14" t="str">
        <f>HYPERLINK("https://pbs.twimg.com/profile_images/933068958151868421/CiyZIYTW.jpg","View")</f>
        <v>View</v>
      </c>
    </row>
    <row r="21" spans="1:21" ht="30">
      <c r="A21" s="10">
        <v>43346.430810185186</v>
      </c>
      <c r="B21" s="11" t="str">
        <f>HYPERLINK("https://twitter.com/dotcottonbible","@dotcottonbible")</f>
        <v>@dotcottonbible</v>
      </c>
      <c r="C21" s="12" t="s">
        <v>112</v>
      </c>
      <c r="D21" s="13" t="s">
        <v>113</v>
      </c>
      <c r="E21" s="14" t="str">
        <f>HYPERLINK("https://twitter.com/dotcottonbible/status/1036665217982320647","1036665217982320647")</f>
        <v>1036665217982320647</v>
      </c>
      <c r="F21" s="15"/>
      <c r="G21" s="15"/>
      <c r="H21" s="15"/>
      <c r="I21" s="17">
        <v>1</v>
      </c>
      <c r="J21" s="17">
        <v>0</v>
      </c>
      <c r="K21" s="18" t="str">
        <f>HYPERLINK("http://192.168.0.104","godemodebible")</f>
        <v>godemodebible</v>
      </c>
      <c r="L21" s="17">
        <v>340</v>
      </c>
      <c r="M21" s="17">
        <v>160</v>
      </c>
      <c r="N21" s="17">
        <v>130</v>
      </c>
      <c r="O21" s="19"/>
      <c r="P21" s="10">
        <v>42146.614930555559</v>
      </c>
      <c r="Q21" s="20" t="s">
        <v>41</v>
      </c>
      <c r="R21" s="21" t="s">
        <v>114</v>
      </c>
      <c r="S21" s="16" t="s">
        <v>115</v>
      </c>
      <c r="T21" s="15"/>
      <c r="U21" s="14" t="str">
        <f>HYPERLINK("https://pbs.twimg.com/profile_images/604044993225826306/RiSjojbq.jpg","View")</f>
        <v>View</v>
      </c>
    </row>
    <row r="22" spans="1:21" ht="50">
      <c r="A22" s="10">
        <v>43346.425347222219</v>
      </c>
      <c r="B22" s="11" t="str">
        <f>HYPERLINK("https://twitter.com/MuseumMeg","@MuseumMeg")</f>
        <v>@MuseumMeg</v>
      </c>
      <c r="C22" s="12" t="s">
        <v>116</v>
      </c>
      <c r="D22" s="13" t="s">
        <v>117</v>
      </c>
      <c r="E22" s="14" t="str">
        <f>HYPERLINK("https://twitter.com/MuseumMeg/status/1036663237717254144","1036663237717254144")</f>
        <v>1036663237717254144</v>
      </c>
      <c r="F22" s="15"/>
      <c r="G22" s="16" t="s">
        <v>118</v>
      </c>
      <c r="H22" s="15"/>
      <c r="I22" s="17">
        <v>4</v>
      </c>
      <c r="J22" s="17">
        <v>12</v>
      </c>
      <c r="K22" s="18" t="str">
        <f>HYPERLINK("http://twitter.com/download/iphone","Twitter for iPhone")</f>
        <v>Twitter for iPhone</v>
      </c>
      <c r="L22" s="17">
        <v>135</v>
      </c>
      <c r="M22" s="17">
        <v>292</v>
      </c>
      <c r="N22" s="17">
        <v>0</v>
      </c>
      <c r="O22" s="19"/>
      <c r="P22" s="10">
        <v>42801.395555555559</v>
      </c>
      <c r="Q22" s="20" t="s">
        <v>119</v>
      </c>
      <c r="R22" s="21" t="s">
        <v>120</v>
      </c>
      <c r="S22" s="16" t="s">
        <v>121</v>
      </c>
      <c r="T22" s="15"/>
      <c r="U22" s="14" t="str">
        <f>HYPERLINK("https://pbs.twimg.com/profile_images/955877394350526464/73q30jgV.jpg","View")</f>
        <v>View</v>
      </c>
    </row>
    <row r="23" spans="1:21" ht="20">
      <c r="A23" s="10">
        <v>43346.424432870372</v>
      </c>
      <c r="B23" s="11" t="str">
        <f>HYPERLINK("https://twitter.com/digitalpunctum","@digitalpunctum")</f>
        <v>@digitalpunctum</v>
      </c>
      <c r="C23" s="12" t="s">
        <v>122</v>
      </c>
      <c r="D23" s="13" t="s">
        <v>123</v>
      </c>
      <c r="E23" s="14" t="str">
        <f>HYPERLINK("https://twitter.com/digitalpunctum/status/1036662903762505728","1036662903762505728")</f>
        <v>1036662903762505728</v>
      </c>
      <c r="F23" s="15"/>
      <c r="G23" s="16" t="s">
        <v>124</v>
      </c>
      <c r="H23" s="15"/>
      <c r="I23" s="17">
        <v>1</v>
      </c>
      <c r="J23" s="17">
        <v>3</v>
      </c>
      <c r="K23" s="18" t="str">
        <f>HYPERLINK("https://mobile.twitter.com","Twitter Lite")</f>
        <v>Twitter Lite</v>
      </c>
      <c r="L23" s="17">
        <v>208</v>
      </c>
      <c r="M23" s="17">
        <v>579</v>
      </c>
      <c r="N23" s="17">
        <v>2</v>
      </c>
      <c r="O23" s="19"/>
      <c r="P23" s="10">
        <v>43192.546041666668</v>
      </c>
      <c r="Q23" s="15"/>
      <c r="R23" s="21" t="s">
        <v>125</v>
      </c>
      <c r="S23" s="15"/>
      <c r="T23" s="15"/>
      <c r="U23" s="14" t="str">
        <f>HYPERLINK("https://pbs.twimg.com/profile_images/991669288556785664/stw8Ki5o.jpg","View")</f>
        <v>View</v>
      </c>
    </row>
    <row r="24" spans="1:21" ht="40">
      <c r="A24" s="10">
        <v>43346.418854166666</v>
      </c>
      <c r="B24" s="11" t="str">
        <f>HYPERLINK("https://twitter.com/GeorgiaMallin","@GeorgiaMallin")</f>
        <v>@GeorgiaMallin</v>
      </c>
      <c r="C24" s="12" t="s">
        <v>126</v>
      </c>
      <c r="D24" s="13" t="s">
        <v>127</v>
      </c>
      <c r="E24" s="14" t="str">
        <f>HYPERLINK("https://twitter.com/GeorgiaMallin/status/1036660881873088512","1036660881873088512")</f>
        <v>1036660881873088512</v>
      </c>
      <c r="F24" s="15"/>
      <c r="G24" s="15"/>
      <c r="H24" s="15"/>
      <c r="I24" s="17">
        <v>2</v>
      </c>
      <c r="J24" s="17">
        <v>23</v>
      </c>
      <c r="K24" s="18" t="str">
        <f>HYPERLINK("http://twitter.com/download/android","Twitter for Android")</f>
        <v>Twitter for Android</v>
      </c>
      <c r="L24" s="17">
        <v>528</v>
      </c>
      <c r="M24" s="17">
        <v>1025</v>
      </c>
      <c r="N24" s="17">
        <v>11</v>
      </c>
      <c r="O24" s="19"/>
      <c r="P24" s="10">
        <v>40905.701087962967</v>
      </c>
      <c r="Q24" s="20" t="s">
        <v>41</v>
      </c>
      <c r="R24" s="21" t="s">
        <v>128</v>
      </c>
      <c r="S24" s="15"/>
      <c r="T24" s="15"/>
      <c r="U24" s="14" t="str">
        <f>HYPERLINK("https://pbs.twimg.com/profile_images/874631103193206784/akQp_6iv.jpg","View")</f>
        <v>View</v>
      </c>
    </row>
    <row r="25" spans="1:21" ht="50">
      <c r="A25" s="10">
        <v>43346.417372685188</v>
      </c>
      <c r="B25" s="11" t="str">
        <f>HYPERLINK("https://twitter.com/UofGInfoStudies","@UofGInfoStudies")</f>
        <v>@UofGInfoStudies</v>
      </c>
      <c r="C25" s="12" t="s">
        <v>129</v>
      </c>
      <c r="D25" s="13" t="s">
        <v>130</v>
      </c>
      <c r="E25" s="14" t="str">
        <f>HYPERLINK("https://twitter.com/UofGInfoStudies/status/1036660347917217793","1036660347917217793")</f>
        <v>1036660347917217793</v>
      </c>
      <c r="F25" s="15"/>
      <c r="G25" s="15"/>
      <c r="H25" s="15"/>
      <c r="I25" s="17">
        <v>2</v>
      </c>
      <c r="J25" s="17">
        <v>16</v>
      </c>
      <c r="K25" s="18" t="str">
        <f t="shared" ref="K25:K27" si="6">HYPERLINK("http://twitter.com/download/iphone","Twitter for iPhone")</f>
        <v>Twitter for iPhone</v>
      </c>
      <c r="L25" s="17">
        <v>1639</v>
      </c>
      <c r="M25" s="17">
        <v>1362</v>
      </c>
      <c r="N25" s="17">
        <v>46</v>
      </c>
      <c r="O25" s="19"/>
      <c r="P25" s="10">
        <v>41033.141180555554</v>
      </c>
      <c r="Q25" s="20" t="s">
        <v>131</v>
      </c>
      <c r="R25" s="21" t="s">
        <v>132</v>
      </c>
      <c r="S25" s="16" t="s">
        <v>133</v>
      </c>
      <c r="T25" s="15"/>
      <c r="U25" s="14" t="str">
        <f>HYPERLINK("https://pbs.twimg.com/profile_images/1011574243300200449/c83Gb2yd.jpg","View")</f>
        <v>View</v>
      </c>
    </row>
    <row r="26" spans="1:21" ht="50">
      <c r="A26" s="10">
        <v>43346.409710648149</v>
      </c>
      <c r="B26" s="11" t="str">
        <f>HYPERLINK("https://twitter.com/sophiemisson","@sophiemisson")</f>
        <v>@sophiemisson</v>
      </c>
      <c r="C26" s="12" t="s">
        <v>134</v>
      </c>
      <c r="D26" s="13" t="s">
        <v>135</v>
      </c>
      <c r="E26" s="14" t="str">
        <f>HYPERLINK("https://twitter.com/sophiemisson/status/1036657570256232448","1036657570256232448")</f>
        <v>1036657570256232448</v>
      </c>
      <c r="F26" s="15"/>
      <c r="G26" s="15"/>
      <c r="H26" s="15"/>
      <c r="I26" s="17">
        <v>3</v>
      </c>
      <c r="J26" s="17">
        <v>11</v>
      </c>
      <c r="K26" s="18" t="str">
        <f t="shared" si="6"/>
        <v>Twitter for iPhone</v>
      </c>
      <c r="L26" s="17">
        <v>280</v>
      </c>
      <c r="M26" s="17">
        <v>384</v>
      </c>
      <c r="N26" s="17">
        <v>4</v>
      </c>
      <c r="O26" s="19"/>
      <c r="P26" s="10">
        <v>42431.143541666665</v>
      </c>
      <c r="Q26" s="15"/>
      <c r="R26" s="21" t="s">
        <v>136</v>
      </c>
      <c r="S26" s="16" t="s">
        <v>137</v>
      </c>
      <c r="T26" s="15"/>
      <c r="U26" s="14" t="str">
        <f>HYPERLINK("https://pbs.twimg.com/profile_images/704993450496823296/oFcMskJc.jpg","View")</f>
        <v>View</v>
      </c>
    </row>
    <row r="27" spans="1:21" ht="40">
      <c r="A27" s="10">
        <v>43346.408391203702</v>
      </c>
      <c r="B27" s="11" t="str">
        <f>HYPERLINK("https://twitter.com/ElisaGravil","@ElisaGravil")</f>
        <v>@ElisaGravil</v>
      </c>
      <c r="C27" s="12" t="s">
        <v>138</v>
      </c>
      <c r="D27" s="13" t="s">
        <v>139</v>
      </c>
      <c r="E27" s="14" t="str">
        <f>HYPERLINK("https://twitter.com/ElisaGravil/status/1036657091769970689","1036657091769970689")</f>
        <v>1036657091769970689</v>
      </c>
      <c r="F27" s="15"/>
      <c r="G27" s="16" t="s">
        <v>140</v>
      </c>
      <c r="H27" s="15"/>
      <c r="I27" s="17">
        <v>1</v>
      </c>
      <c r="J27" s="17">
        <v>3</v>
      </c>
      <c r="K27" s="18" t="str">
        <f t="shared" si="6"/>
        <v>Twitter for iPhone</v>
      </c>
      <c r="L27" s="17">
        <v>704</v>
      </c>
      <c r="M27" s="17">
        <v>1378</v>
      </c>
      <c r="N27" s="17">
        <v>18</v>
      </c>
      <c r="O27" s="19"/>
      <c r="P27" s="10">
        <v>40164.047962962963</v>
      </c>
      <c r="Q27" s="20" t="s">
        <v>141</v>
      </c>
      <c r="R27" s="21" t="s">
        <v>142</v>
      </c>
      <c r="S27" s="16" t="s">
        <v>143</v>
      </c>
      <c r="T27" s="15"/>
      <c r="U27" s="14" t="str">
        <f>HYPERLINK("https://pbs.twimg.com/profile_images/943772601150820353/-K75sKA9.jpg","View")</f>
        <v>View</v>
      </c>
    </row>
    <row r="28" spans="1:21" ht="50">
      <c r="A28" s="10">
        <v>43346.39775462963</v>
      </c>
      <c r="B28" s="11" t="str">
        <f>HYPERLINK("https://twitter.com/FrejaHowat","@FrejaHowat")</f>
        <v>@FrejaHowat</v>
      </c>
      <c r="C28" s="12" t="s">
        <v>144</v>
      </c>
      <c r="D28" s="13" t="s">
        <v>145</v>
      </c>
      <c r="E28" s="14" t="str">
        <f>HYPERLINK("https://twitter.com/FrejaHowat/status/1036653239066869760","1036653239066869760")</f>
        <v>1036653239066869760</v>
      </c>
      <c r="F28" s="15"/>
      <c r="G28" s="16" t="s">
        <v>146</v>
      </c>
      <c r="H28" s="15"/>
      <c r="I28" s="17">
        <v>5</v>
      </c>
      <c r="J28" s="17">
        <v>11</v>
      </c>
      <c r="K28" s="18" t="str">
        <f>HYPERLINK("http://twitter.com/download/android","Twitter for Android")</f>
        <v>Twitter for Android</v>
      </c>
      <c r="L28" s="17">
        <v>89</v>
      </c>
      <c r="M28" s="17">
        <v>206</v>
      </c>
      <c r="N28" s="17">
        <v>6</v>
      </c>
      <c r="O28" s="19"/>
      <c r="P28" s="10">
        <v>43031.350578703699</v>
      </c>
      <c r="Q28" s="20" t="s">
        <v>147</v>
      </c>
      <c r="R28" s="21" t="s">
        <v>148</v>
      </c>
      <c r="S28" s="15"/>
      <c r="T28" s="15"/>
      <c r="U28" s="14" t="str">
        <f>HYPERLINK("https://pbs.twimg.com/profile_images/922765025437155329/6BzXLg1q.jpg","View")</f>
        <v>View</v>
      </c>
    </row>
    <row r="29" spans="1:21" ht="40">
      <c r="A29" s="10">
        <v>43346.395092592589</v>
      </c>
      <c r="B29" s="11" t="str">
        <f>HYPERLINK("https://twitter.com/ElisaGravil","@ElisaGravil")</f>
        <v>@ElisaGravil</v>
      </c>
      <c r="C29" s="12" t="s">
        <v>138</v>
      </c>
      <c r="D29" s="13" t="s">
        <v>149</v>
      </c>
      <c r="E29" s="14" t="str">
        <f>HYPERLINK("https://twitter.com/ElisaGravil/status/1036652271923343360","1036652271923343360")</f>
        <v>1036652271923343360</v>
      </c>
      <c r="F29" s="15"/>
      <c r="G29" s="16" t="s">
        <v>150</v>
      </c>
      <c r="H29" s="15"/>
      <c r="I29" s="17">
        <v>2</v>
      </c>
      <c r="J29" s="17">
        <v>4</v>
      </c>
      <c r="K29" s="18" t="str">
        <f>HYPERLINK("http://twitter.com/download/iphone","Twitter for iPhone")</f>
        <v>Twitter for iPhone</v>
      </c>
      <c r="L29" s="17">
        <v>704</v>
      </c>
      <c r="M29" s="17">
        <v>1378</v>
      </c>
      <c r="N29" s="17">
        <v>18</v>
      </c>
      <c r="O29" s="19"/>
      <c r="P29" s="10">
        <v>40164.047962962963</v>
      </c>
      <c r="Q29" s="20" t="s">
        <v>141</v>
      </c>
      <c r="R29" s="21" t="s">
        <v>142</v>
      </c>
      <c r="S29" s="16" t="s">
        <v>143</v>
      </c>
      <c r="T29" s="15"/>
      <c r="U29" s="14" t="str">
        <f>HYPERLINK("https://pbs.twimg.com/profile_images/943772601150820353/-K75sKA9.jpg","View")</f>
        <v>View</v>
      </c>
    </row>
    <row r="30" spans="1:21" ht="40">
      <c r="A30" s="10">
        <v>43346.382372685184</v>
      </c>
      <c r="B30" s="11" t="str">
        <f>HYPERLINK("https://twitter.com/FagAshLilith","@FagAshLilith")</f>
        <v>@FagAshLilith</v>
      </c>
      <c r="C30" s="12" t="s">
        <v>151</v>
      </c>
      <c r="D30" s="13" t="s">
        <v>152</v>
      </c>
      <c r="E30" s="14" t="str">
        <f>HYPERLINK("https://twitter.com/FagAshLilith/status/1036647664308432896","1036647664308432896")</f>
        <v>1036647664308432896</v>
      </c>
      <c r="F30" s="15"/>
      <c r="G30" s="15"/>
      <c r="H30" s="15"/>
      <c r="I30" s="17">
        <v>1</v>
      </c>
      <c r="J30" s="17">
        <v>4</v>
      </c>
      <c r="K30" s="18" t="str">
        <f>HYPERLINK("http://twitter.com/download/android","Twitter for Android")</f>
        <v>Twitter for Android</v>
      </c>
      <c r="L30" s="17">
        <v>455</v>
      </c>
      <c r="M30" s="17">
        <v>1208</v>
      </c>
      <c r="N30" s="17">
        <v>8</v>
      </c>
      <c r="O30" s="19"/>
      <c r="P30" s="10">
        <v>42936.701747685191</v>
      </c>
      <c r="Q30" s="15"/>
      <c r="R30" s="21" t="s">
        <v>153</v>
      </c>
      <c r="S30" s="15"/>
      <c r="T30" s="15"/>
      <c r="U30" s="14" t="str">
        <f>HYPERLINK("https://pbs.twimg.com/profile_images/893051860256301057/BcsusmCO.jpg","View")</f>
        <v>View</v>
      </c>
    </row>
    <row r="31" spans="1:21" ht="40">
      <c r="A31" s="10">
        <v>43346.379282407404</v>
      </c>
      <c r="B31" s="11" t="str">
        <f>HYPERLINK("https://twitter.com/AHHEresearch","@AHHEresearch")</f>
        <v>@AHHEresearch</v>
      </c>
      <c r="C31" s="12" t="s">
        <v>154</v>
      </c>
      <c r="D31" s="13" t="s">
        <v>155</v>
      </c>
      <c r="E31" s="14" t="str">
        <f>HYPERLINK("https://twitter.com/AHHEresearch/status/1036646541400985601","1036646541400985601")</f>
        <v>1036646541400985601</v>
      </c>
      <c r="F31" s="20" t="s">
        <v>156</v>
      </c>
      <c r="G31" s="15"/>
      <c r="H31" s="15"/>
      <c r="I31" s="17">
        <v>1</v>
      </c>
      <c r="J31" s="17">
        <v>1</v>
      </c>
      <c r="K31" s="18" t="str">
        <f>HYPERLINK("http://twitter.com","Twitter Web Client")</f>
        <v>Twitter Web Client</v>
      </c>
      <c r="L31" s="17">
        <v>3770</v>
      </c>
      <c r="M31" s="17">
        <v>2765</v>
      </c>
      <c r="N31" s="17">
        <v>142</v>
      </c>
      <c r="O31" s="19"/>
      <c r="P31" s="10">
        <v>42007.196203703701</v>
      </c>
      <c r="Q31" s="15"/>
      <c r="R31" s="21" t="s">
        <v>157</v>
      </c>
      <c r="S31" s="16" t="s">
        <v>158</v>
      </c>
      <c r="T31" s="15"/>
      <c r="U31" s="14" t="str">
        <f>HYPERLINK("https://pbs.twimg.com/profile_images/552487321782583296/KYXwcYdE.png","View")</f>
        <v>View</v>
      </c>
    </row>
    <row r="32" spans="1:21" ht="30">
      <c r="A32" s="10">
        <v>43346.375335648147</v>
      </c>
      <c r="B32" s="11" t="str">
        <f>HYPERLINK("https://twitter.com/TheDataRobot","@TheDataRobot")</f>
        <v>@TheDataRobot</v>
      </c>
      <c r="C32" s="12" t="s">
        <v>159</v>
      </c>
      <c r="D32" s="13" t="s">
        <v>160</v>
      </c>
      <c r="E32" s="14" t="str">
        <f>HYPERLINK("https://twitter.com/TheDataRobot/status/1036645111394959362","1036645111394959362")</f>
        <v>1036645111394959362</v>
      </c>
      <c r="F32" s="15"/>
      <c r="G32" s="15"/>
      <c r="H32" s="15"/>
      <c r="I32" s="17">
        <v>0</v>
      </c>
      <c r="J32" s="17">
        <v>2</v>
      </c>
      <c r="K32" s="18" t="str">
        <f>HYPERLINK("http://mfelman.com","TheDataRobot")</f>
        <v>TheDataRobot</v>
      </c>
      <c r="L32" s="17">
        <v>1643</v>
      </c>
      <c r="M32" s="17">
        <v>0</v>
      </c>
      <c r="N32" s="17">
        <v>24</v>
      </c>
      <c r="O32" s="19"/>
      <c r="P32" s="10">
        <v>42707.450474537036</v>
      </c>
      <c r="Q32" s="15"/>
      <c r="R32" s="22"/>
      <c r="S32" s="15"/>
      <c r="T32" s="15"/>
      <c r="U32" s="14" t="str">
        <f>HYPERLINK("https://pbs.twimg.com/profile_images/805914800014426112/zLlkb5Cf.jpg","View")</f>
        <v>View</v>
      </c>
    </row>
    <row r="33" spans="1:21" ht="30">
      <c r="A33" s="10">
        <v>43346.371631944443</v>
      </c>
      <c r="B33" s="11" t="str">
        <f t="shared" ref="B33:B34" si="7">HYPERLINK("https://twitter.com/SLIPIreland","@SLIPIreland")</f>
        <v>@SLIPIreland</v>
      </c>
      <c r="C33" s="12" t="s">
        <v>161</v>
      </c>
      <c r="D33" s="13" t="s">
        <v>162</v>
      </c>
      <c r="E33" s="14" t="str">
        <f>HYPERLINK("https://twitter.com/SLIPIreland/status/1036643770379526144","1036643770379526144")</f>
        <v>1036643770379526144</v>
      </c>
      <c r="F33" s="15"/>
      <c r="G33" s="16" t="s">
        <v>163</v>
      </c>
      <c r="H33" s="15"/>
      <c r="I33" s="17">
        <v>2</v>
      </c>
      <c r="J33" s="17">
        <v>8</v>
      </c>
      <c r="K33" s="18" t="str">
        <f t="shared" ref="K33:K34" si="8">HYPERLINK("http://twitter.com/download/android","Twitter for Android")</f>
        <v>Twitter for Android</v>
      </c>
      <c r="L33" s="17">
        <v>943</v>
      </c>
      <c r="M33" s="17">
        <v>581</v>
      </c>
      <c r="N33" s="17">
        <v>43</v>
      </c>
      <c r="O33" s="19"/>
      <c r="P33" s="10">
        <v>42067.319490740745</v>
      </c>
      <c r="Q33" s="20" t="s">
        <v>164</v>
      </c>
      <c r="R33" s="21" t="s">
        <v>165</v>
      </c>
      <c r="S33" s="16" t="s">
        <v>166</v>
      </c>
      <c r="T33" s="15"/>
      <c r="U33" s="14" t="str">
        <f t="shared" ref="U33:U34" si="9">HYPERLINK("https://pbs.twimg.com/profile_images/611647654574051328/YqIu3i2j.png","View")</f>
        <v>View</v>
      </c>
    </row>
    <row r="34" spans="1:21" ht="30">
      <c r="A34" s="10">
        <v>43346.371365740742</v>
      </c>
      <c r="B34" s="11" t="str">
        <f t="shared" si="7"/>
        <v>@SLIPIreland</v>
      </c>
      <c r="C34" s="12" t="s">
        <v>161</v>
      </c>
      <c r="D34" s="13" t="s">
        <v>167</v>
      </c>
      <c r="E34" s="14" t="str">
        <f>HYPERLINK("https://twitter.com/SLIPIreland/status/1036643672136327169","1036643672136327169")</f>
        <v>1036643672136327169</v>
      </c>
      <c r="F34" s="15"/>
      <c r="G34" s="16" t="s">
        <v>168</v>
      </c>
      <c r="H34" s="15"/>
      <c r="I34" s="17">
        <v>2</v>
      </c>
      <c r="J34" s="17">
        <v>4</v>
      </c>
      <c r="K34" s="18" t="str">
        <f t="shared" si="8"/>
        <v>Twitter for Android</v>
      </c>
      <c r="L34" s="17">
        <v>943</v>
      </c>
      <c r="M34" s="17">
        <v>581</v>
      </c>
      <c r="N34" s="17">
        <v>43</v>
      </c>
      <c r="O34" s="19"/>
      <c r="P34" s="10">
        <v>42067.319490740745</v>
      </c>
      <c r="Q34" s="20" t="s">
        <v>164</v>
      </c>
      <c r="R34" s="21" t="s">
        <v>165</v>
      </c>
      <c r="S34" s="16" t="s">
        <v>166</v>
      </c>
      <c r="T34" s="15"/>
      <c r="U34" s="14" t="str">
        <f t="shared" si="9"/>
        <v>View</v>
      </c>
    </row>
    <row r="35" spans="1:21" ht="30">
      <c r="A35" s="10">
        <v>43346.370972222227</v>
      </c>
      <c r="B35" s="11" t="str">
        <f t="shared" ref="B35:B36" si="10">HYPERLINK("https://twitter.com/NMSCollMan","@NMSCollMan")</f>
        <v>@NMSCollMan</v>
      </c>
      <c r="C35" s="12" t="s">
        <v>169</v>
      </c>
      <c r="D35" s="13" t="s">
        <v>170</v>
      </c>
      <c r="E35" s="14" t="str">
        <f>HYPERLINK("https://twitter.com/NMSCollMan/status/1036643533153857541","1036643533153857541")</f>
        <v>1036643533153857541</v>
      </c>
      <c r="F35" s="15"/>
      <c r="G35" s="15"/>
      <c r="H35" s="15"/>
      <c r="I35" s="17">
        <v>2</v>
      </c>
      <c r="J35" s="17">
        <v>1</v>
      </c>
      <c r="K35" s="18" t="str">
        <f t="shared" ref="K35:K36" si="11">HYPERLINK("http://twitter.com/download/iphone","Twitter for iPhone")</f>
        <v>Twitter for iPhone</v>
      </c>
      <c r="L35" s="17">
        <v>1670</v>
      </c>
      <c r="M35" s="17">
        <v>1388</v>
      </c>
      <c r="N35" s="17">
        <v>67</v>
      </c>
      <c r="O35" s="19"/>
      <c r="P35" s="10">
        <v>41340.294745370367</v>
      </c>
      <c r="Q35" s="20" t="s">
        <v>171</v>
      </c>
      <c r="R35" s="21" t="s">
        <v>172</v>
      </c>
      <c r="S35" s="16" t="s">
        <v>173</v>
      </c>
      <c r="T35" s="15"/>
      <c r="U35" s="14" t="str">
        <f t="shared" ref="U35:U36" si="12">HYPERLINK("https://pbs.twimg.com/profile_images/608204218378223616/bC8MREMO.png","View")</f>
        <v>View</v>
      </c>
    </row>
    <row r="36" spans="1:21" ht="30">
      <c r="A36" s="10">
        <v>43346.370057870372</v>
      </c>
      <c r="B36" s="11" t="str">
        <f t="shared" si="10"/>
        <v>@NMSCollMan</v>
      </c>
      <c r="C36" s="12" t="s">
        <v>169</v>
      </c>
      <c r="D36" s="13" t="s">
        <v>174</v>
      </c>
      <c r="E36" s="14" t="str">
        <f>HYPERLINK("https://twitter.com/NMSCollMan/status/1036643202051330049","1036643202051330049")</f>
        <v>1036643202051330049</v>
      </c>
      <c r="F36" s="15"/>
      <c r="G36" s="16" t="s">
        <v>175</v>
      </c>
      <c r="H36" s="15"/>
      <c r="I36" s="17">
        <v>0</v>
      </c>
      <c r="J36" s="17">
        <v>5</v>
      </c>
      <c r="K36" s="18" t="str">
        <f t="shared" si="11"/>
        <v>Twitter for iPhone</v>
      </c>
      <c r="L36" s="17">
        <v>1670</v>
      </c>
      <c r="M36" s="17">
        <v>1388</v>
      </c>
      <c r="N36" s="17">
        <v>67</v>
      </c>
      <c r="O36" s="19"/>
      <c r="P36" s="10">
        <v>41340.294745370367</v>
      </c>
      <c r="Q36" s="20" t="s">
        <v>171</v>
      </c>
      <c r="R36" s="21" t="s">
        <v>172</v>
      </c>
      <c r="S36" s="16" t="s">
        <v>173</v>
      </c>
      <c r="T36" s="15"/>
      <c r="U36" s="14" t="str">
        <f t="shared" si="12"/>
        <v>View</v>
      </c>
    </row>
    <row r="37" spans="1:21" ht="40">
      <c r="A37" s="10">
        <v>43346.368020833332</v>
      </c>
      <c r="B37" s="11" t="str">
        <f>HYPERLINK("https://twitter.com/GeorgiaMallin","@GeorgiaMallin")</f>
        <v>@GeorgiaMallin</v>
      </c>
      <c r="C37" s="12" t="s">
        <v>126</v>
      </c>
      <c r="D37" s="13" t="s">
        <v>176</v>
      </c>
      <c r="E37" s="14" t="str">
        <f>HYPERLINK("https://twitter.com/GeorgiaMallin/status/1036642461488242688","1036642461488242688")</f>
        <v>1036642461488242688</v>
      </c>
      <c r="F37" s="15"/>
      <c r="G37" s="16" t="s">
        <v>177</v>
      </c>
      <c r="H37" s="15"/>
      <c r="I37" s="17">
        <v>3</v>
      </c>
      <c r="J37" s="17">
        <v>10</v>
      </c>
      <c r="K37" s="18" t="str">
        <f t="shared" ref="K37:K40" si="13">HYPERLINK("http://twitter.com/download/android","Twitter for Android")</f>
        <v>Twitter for Android</v>
      </c>
      <c r="L37" s="17">
        <v>528</v>
      </c>
      <c r="M37" s="17">
        <v>1025</v>
      </c>
      <c r="N37" s="17">
        <v>11</v>
      </c>
      <c r="O37" s="19"/>
      <c r="P37" s="10">
        <v>40905.701087962967</v>
      </c>
      <c r="Q37" s="20" t="s">
        <v>41</v>
      </c>
      <c r="R37" s="21" t="s">
        <v>128</v>
      </c>
      <c r="S37" s="15"/>
      <c r="T37" s="15"/>
      <c r="U37" s="14" t="str">
        <f>HYPERLINK("https://pbs.twimg.com/profile_images/874631103193206784/akQp_6iv.jpg","View")</f>
        <v>View</v>
      </c>
    </row>
    <row r="38" spans="1:21" ht="30">
      <c r="A38" s="10">
        <v>43346.365636574075</v>
      </c>
      <c r="B38" s="11" t="str">
        <f>HYPERLINK("https://twitter.com/Sarah_DPC","@Sarah_DPC")</f>
        <v>@Sarah_DPC</v>
      </c>
      <c r="C38" s="12" t="s">
        <v>178</v>
      </c>
      <c r="D38" s="13" t="s">
        <v>179</v>
      </c>
      <c r="E38" s="14" t="str">
        <f>HYPERLINK("https://twitter.com/Sarah_DPC/status/1036641595976810504","1036641595976810504")</f>
        <v>1036641595976810504</v>
      </c>
      <c r="F38" s="15"/>
      <c r="G38" s="15"/>
      <c r="H38" s="15"/>
      <c r="I38" s="17">
        <v>1</v>
      </c>
      <c r="J38" s="17">
        <v>4</v>
      </c>
      <c r="K38" s="18" t="str">
        <f t="shared" si="13"/>
        <v>Twitter for Android</v>
      </c>
      <c r="L38" s="17">
        <v>1270</v>
      </c>
      <c r="M38" s="17">
        <v>715</v>
      </c>
      <c r="N38" s="17">
        <v>51</v>
      </c>
      <c r="O38" s="19"/>
      <c r="P38" s="10">
        <v>41373.188576388886</v>
      </c>
      <c r="Q38" s="20" t="s">
        <v>180</v>
      </c>
      <c r="R38" s="21" t="s">
        <v>181</v>
      </c>
      <c r="S38" s="16" t="s">
        <v>182</v>
      </c>
      <c r="T38" s="15"/>
      <c r="U38" s="14" t="str">
        <f>HYPERLINK("https://pbs.twimg.com/profile_images/867263862726434816/K2qoO6sD.jpg","View")</f>
        <v>View</v>
      </c>
    </row>
    <row r="39" spans="1:21" ht="40">
      <c r="A39" s="10">
        <v>43346.365115740744</v>
      </c>
      <c r="B39" s="11" t="str">
        <f>HYPERLINK("https://twitter.com/SharonMcMeekin","@SharonMcMeekin")</f>
        <v>@SharonMcMeekin</v>
      </c>
      <c r="C39" s="12" t="s">
        <v>183</v>
      </c>
      <c r="D39" s="13" t="s">
        <v>184</v>
      </c>
      <c r="E39" s="14" t="str">
        <f>HYPERLINK("https://twitter.com/SharonMcMeekin/status/1036641410836062210","1036641410836062210")</f>
        <v>1036641410836062210</v>
      </c>
      <c r="F39" s="15"/>
      <c r="G39" s="15"/>
      <c r="H39" s="15"/>
      <c r="I39" s="17">
        <v>2</v>
      </c>
      <c r="J39" s="17">
        <v>11</v>
      </c>
      <c r="K39" s="18" t="str">
        <f t="shared" si="13"/>
        <v>Twitter for Android</v>
      </c>
      <c r="L39" s="17">
        <v>1275</v>
      </c>
      <c r="M39" s="17">
        <v>312</v>
      </c>
      <c r="N39" s="17">
        <v>64</v>
      </c>
      <c r="O39" s="19"/>
      <c r="P39" s="10">
        <v>40255.238877314812</v>
      </c>
      <c r="Q39" s="20" t="s">
        <v>131</v>
      </c>
      <c r="R39" s="21" t="s">
        <v>185</v>
      </c>
      <c r="S39" s="16" t="s">
        <v>182</v>
      </c>
      <c r="T39" s="15"/>
      <c r="U39" s="14" t="str">
        <f>HYPERLINK("https://pbs.twimg.com/profile_images/839880688551743488/pXTyqWcy.jpg","View")</f>
        <v>View</v>
      </c>
    </row>
    <row r="40" spans="1:21" ht="20">
      <c r="A40" s="10">
        <v>43346.364351851851</v>
      </c>
      <c r="B40" s="11" t="str">
        <f>HYPERLINK("https://twitter.com/Sarah_DPC","@Sarah_DPC")</f>
        <v>@Sarah_DPC</v>
      </c>
      <c r="C40" s="12" t="s">
        <v>178</v>
      </c>
      <c r="D40" s="13" t="s">
        <v>186</v>
      </c>
      <c r="E40" s="14" t="str">
        <f>HYPERLINK("https://twitter.com/Sarah_DPC/status/1036641131201744896","1036641131201744896")</f>
        <v>1036641131201744896</v>
      </c>
      <c r="F40" s="15"/>
      <c r="G40" s="15"/>
      <c r="H40" s="15"/>
      <c r="I40" s="17">
        <v>3</v>
      </c>
      <c r="J40" s="17">
        <v>4</v>
      </c>
      <c r="K40" s="18" t="str">
        <f t="shared" si="13"/>
        <v>Twitter for Android</v>
      </c>
      <c r="L40" s="17">
        <v>1270</v>
      </c>
      <c r="M40" s="17">
        <v>715</v>
      </c>
      <c r="N40" s="17">
        <v>51</v>
      </c>
      <c r="O40" s="19"/>
      <c r="P40" s="10">
        <v>41373.188576388886</v>
      </c>
      <c r="Q40" s="20" t="s">
        <v>180</v>
      </c>
      <c r="R40" s="21" t="s">
        <v>181</v>
      </c>
      <c r="S40" s="16" t="s">
        <v>182</v>
      </c>
      <c r="T40" s="15"/>
      <c r="U40" s="14" t="str">
        <f>HYPERLINK("https://pbs.twimg.com/profile_images/867263862726434816/K2qoO6sD.jpg","View")</f>
        <v>View</v>
      </c>
    </row>
    <row r="41" spans="1:21" ht="20">
      <c r="A41" s="10">
        <v>43346.363900462966</v>
      </c>
      <c r="B41" s="11" t="str">
        <f>HYPERLINK("https://twitter.com/oxfordtim","@oxfordtim")</f>
        <v>@oxfordtim</v>
      </c>
      <c r="C41" s="12" t="s">
        <v>187</v>
      </c>
      <c r="D41" s="13" t="s">
        <v>188</v>
      </c>
      <c r="E41" s="14" t="str">
        <f>HYPERLINK("https://twitter.com/oxfordtim/status/1036640966868971520","1036640966868971520")</f>
        <v>1036640966868971520</v>
      </c>
      <c r="F41" s="15"/>
      <c r="G41" s="15"/>
      <c r="H41" s="15"/>
      <c r="I41" s="17">
        <v>1</v>
      </c>
      <c r="J41" s="17">
        <v>3</v>
      </c>
      <c r="K41" s="18" t="str">
        <f>HYPERLINK("http://twitter.com/download/iphone","Twitter for iPhone")</f>
        <v>Twitter for iPhone</v>
      </c>
      <c r="L41" s="17">
        <v>239</v>
      </c>
      <c r="M41" s="17">
        <v>394</v>
      </c>
      <c r="N41" s="17">
        <v>9</v>
      </c>
      <c r="O41" s="19"/>
      <c r="P41" s="10">
        <v>40523.472962962966</v>
      </c>
      <c r="Q41" s="20" t="s">
        <v>189</v>
      </c>
      <c r="R41" s="21" t="s">
        <v>190</v>
      </c>
      <c r="S41" s="16" t="s">
        <v>191</v>
      </c>
      <c r="T41" s="15"/>
      <c r="U41" s="14" t="str">
        <f>HYPERLINK("https://pbs.twimg.com/profile_images/1643849081/tim.png","View")</f>
        <v>View</v>
      </c>
    </row>
    <row r="42" spans="1:21" ht="20">
      <c r="A42" s="10">
        <v>43346.363530092596</v>
      </c>
      <c r="B42" s="11" t="str">
        <f t="shared" ref="B42:B43" si="14">HYPERLINK("https://twitter.com/Sarah_DPC","@Sarah_DPC")</f>
        <v>@Sarah_DPC</v>
      </c>
      <c r="C42" s="12" t="s">
        <v>178</v>
      </c>
      <c r="D42" s="13" t="s">
        <v>192</v>
      </c>
      <c r="E42" s="14" t="str">
        <f>HYPERLINK("https://twitter.com/Sarah_DPC/status/1036640833129377793","1036640833129377793")</f>
        <v>1036640833129377793</v>
      </c>
      <c r="F42" s="15"/>
      <c r="G42" s="15"/>
      <c r="H42" s="15"/>
      <c r="I42" s="17">
        <v>1</v>
      </c>
      <c r="J42" s="17">
        <v>6</v>
      </c>
      <c r="K42" s="18" t="str">
        <f t="shared" ref="K42:K49" si="15">HYPERLINK("http://twitter.com/download/android","Twitter for Android")</f>
        <v>Twitter for Android</v>
      </c>
      <c r="L42" s="17">
        <v>1270</v>
      </c>
      <c r="M42" s="17">
        <v>715</v>
      </c>
      <c r="N42" s="17">
        <v>51</v>
      </c>
      <c r="O42" s="19"/>
      <c r="P42" s="10">
        <v>41373.188576388886</v>
      </c>
      <c r="Q42" s="20" t="s">
        <v>180</v>
      </c>
      <c r="R42" s="21" t="s">
        <v>181</v>
      </c>
      <c r="S42" s="16" t="s">
        <v>182</v>
      </c>
      <c r="T42" s="15"/>
      <c r="U42" s="14" t="str">
        <f t="shared" ref="U42:U43" si="16">HYPERLINK("https://pbs.twimg.com/profile_images/867263862726434816/K2qoO6sD.jpg","View")</f>
        <v>View</v>
      </c>
    </row>
    <row r="43" spans="1:21" ht="20">
      <c r="A43" s="10">
        <v>43346.362581018519</v>
      </c>
      <c r="B43" s="11" t="str">
        <f t="shared" si="14"/>
        <v>@Sarah_DPC</v>
      </c>
      <c r="C43" s="12" t="s">
        <v>178</v>
      </c>
      <c r="D43" s="13" t="s">
        <v>193</v>
      </c>
      <c r="E43" s="14" t="str">
        <f>HYPERLINK("https://twitter.com/Sarah_DPC/status/1036640491058745350","1036640491058745350")</f>
        <v>1036640491058745350</v>
      </c>
      <c r="F43" s="15"/>
      <c r="G43" s="15"/>
      <c r="H43" s="15"/>
      <c r="I43" s="17">
        <v>1</v>
      </c>
      <c r="J43" s="17">
        <v>3</v>
      </c>
      <c r="K43" s="18" t="str">
        <f t="shared" si="15"/>
        <v>Twitter for Android</v>
      </c>
      <c r="L43" s="17">
        <v>1270</v>
      </c>
      <c r="M43" s="17">
        <v>715</v>
      </c>
      <c r="N43" s="17">
        <v>51</v>
      </c>
      <c r="O43" s="19"/>
      <c r="P43" s="10">
        <v>41373.188576388886</v>
      </c>
      <c r="Q43" s="20" t="s">
        <v>180</v>
      </c>
      <c r="R43" s="21" t="s">
        <v>181</v>
      </c>
      <c r="S43" s="16" t="s">
        <v>182</v>
      </c>
      <c r="T43" s="15"/>
      <c r="U43" s="14" t="str">
        <f t="shared" si="16"/>
        <v>View</v>
      </c>
    </row>
    <row r="44" spans="1:21" ht="40">
      <c r="A44" s="10">
        <v>43346.362129629633</v>
      </c>
      <c r="B44" s="11" t="str">
        <f>HYPERLINK("https://twitter.com/GeorgiaMallin","@GeorgiaMallin")</f>
        <v>@GeorgiaMallin</v>
      </c>
      <c r="C44" s="12" t="s">
        <v>126</v>
      </c>
      <c r="D44" s="13" t="s">
        <v>194</v>
      </c>
      <c r="E44" s="14" t="str">
        <f>HYPERLINK("https://twitter.com/GeorgiaMallin/status/1036640326134521856","1036640326134521856")</f>
        <v>1036640326134521856</v>
      </c>
      <c r="F44" s="16" t="s">
        <v>195</v>
      </c>
      <c r="G44" s="16" t="s">
        <v>196</v>
      </c>
      <c r="H44" s="15"/>
      <c r="I44" s="17">
        <v>1</v>
      </c>
      <c r="J44" s="17">
        <v>8</v>
      </c>
      <c r="K44" s="18" t="str">
        <f t="shared" si="15"/>
        <v>Twitter for Android</v>
      </c>
      <c r="L44" s="17">
        <v>528</v>
      </c>
      <c r="M44" s="17">
        <v>1025</v>
      </c>
      <c r="N44" s="17">
        <v>11</v>
      </c>
      <c r="O44" s="19"/>
      <c r="P44" s="10">
        <v>40905.701087962967</v>
      </c>
      <c r="Q44" s="20" t="s">
        <v>41</v>
      </c>
      <c r="R44" s="21" t="s">
        <v>128</v>
      </c>
      <c r="S44" s="15"/>
      <c r="T44" s="15"/>
      <c r="U44" s="14" t="str">
        <f>HYPERLINK("https://pbs.twimg.com/profile_images/874631103193206784/akQp_6iv.jpg","View")</f>
        <v>View</v>
      </c>
    </row>
    <row r="45" spans="1:21" ht="30">
      <c r="A45" s="10">
        <v>43346.361909722225</v>
      </c>
      <c r="B45" s="11" t="str">
        <f>HYPERLINK("https://twitter.com/dri_ireland","@dri_ireland")</f>
        <v>@dri_ireland</v>
      </c>
      <c r="C45" s="12" t="s">
        <v>197</v>
      </c>
      <c r="D45" s="13" t="s">
        <v>198</v>
      </c>
      <c r="E45" s="14" t="str">
        <f>HYPERLINK("https://twitter.com/dri_ireland/status/1036640246765690887","1036640246765690887")</f>
        <v>1036640246765690887</v>
      </c>
      <c r="F45" s="15"/>
      <c r="G45" s="16" t="s">
        <v>199</v>
      </c>
      <c r="H45" s="15"/>
      <c r="I45" s="17">
        <v>2</v>
      </c>
      <c r="J45" s="17">
        <v>5</v>
      </c>
      <c r="K45" s="18" t="str">
        <f t="shared" si="15"/>
        <v>Twitter for Android</v>
      </c>
      <c r="L45" s="17">
        <v>6134</v>
      </c>
      <c r="M45" s="17">
        <v>1732</v>
      </c>
      <c r="N45" s="17">
        <v>249</v>
      </c>
      <c r="O45" s="19"/>
      <c r="P45" s="10">
        <v>41172.215312500004</v>
      </c>
      <c r="Q45" s="20" t="s">
        <v>200</v>
      </c>
      <c r="R45" s="21" t="s">
        <v>201</v>
      </c>
      <c r="S45" s="16" t="s">
        <v>202</v>
      </c>
      <c r="T45" s="15"/>
      <c r="U45" s="14" t="str">
        <f>HYPERLINK("https://pbs.twimg.com/profile_images/603126975268581376/cGZW7aU3.jpg","View")</f>
        <v>View</v>
      </c>
    </row>
    <row r="46" spans="1:21" ht="40">
      <c r="A46" s="10">
        <v>43346.360914351855</v>
      </c>
      <c r="B46" s="11" t="str">
        <f>HYPERLINK("https://twitter.com/Sarah_DPC","@Sarah_DPC")</f>
        <v>@Sarah_DPC</v>
      </c>
      <c r="C46" s="12" t="s">
        <v>178</v>
      </c>
      <c r="D46" s="13" t="s">
        <v>203</v>
      </c>
      <c r="E46" s="14" t="str">
        <f>HYPERLINK("https://twitter.com/Sarah_DPC/status/1036639885069824000","1036639885069824000")</f>
        <v>1036639885069824000</v>
      </c>
      <c r="F46" s="15"/>
      <c r="G46" s="15"/>
      <c r="H46" s="15"/>
      <c r="I46" s="17">
        <v>1</v>
      </c>
      <c r="J46" s="17">
        <v>5</v>
      </c>
      <c r="K46" s="18" t="str">
        <f t="shared" si="15"/>
        <v>Twitter for Android</v>
      </c>
      <c r="L46" s="17">
        <v>1270</v>
      </c>
      <c r="M46" s="17">
        <v>715</v>
      </c>
      <c r="N46" s="17">
        <v>51</v>
      </c>
      <c r="O46" s="19"/>
      <c r="P46" s="10">
        <v>41373.188576388886</v>
      </c>
      <c r="Q46" s="20" t="s">
        <v>180</v>
      </c>
      <c r="R46" s="21" t="s">
        <v>181</v>
      </c>
      <c r="S46" s="16" t="s">
        <v>182</v>
      </c>
      <c r="T46" s="15"/>
      <c r="U46" s="14" t="str">
        <f>HYPERLINK("https://pbs.twimg.com/profile_images/867263862726434816/K2qoO6sD.jpg","View")</f>
        <v>View</v>
      </c>
    </row>
    <row r="47" spans="1:21" ht="30">
      <c r="A47" s="10">
        <v>43346.360543981486</v>
      </c>
      <c r="B47" s="11" t="str">
        <f>HYPERLINK("https://twitter.com/CaylinSSmith","@CaylinSSmith")</f>
        <v>@CaylinSSmith</v>
      </c>
      <c r="C47" s="12" t="s">
        <v>204</v>
      </c>
      <c r="D47" s="13" t="s">
        <v>205</v>
      </c>
      <c r="E47" s="14" t="str">
        <f>HYPERLINK("https://twitter.com/CaylinSSmith/status/1036639751296765954","1036639751296765954")</f>
        <v>1036639751296765954</v>
      </c>
      <c r="F47" s="15"/>
      <c r="G47" s="15"/>
      <c r="H47" s="15"/>
      <c r="I47" s="17">
        <v>1</v>
      </c>
      <c r="J47" s="17">
        <v>4</v>
      </c>
      <c r="K47" s="18" t="str">
        <f t="shared" si="15"/>
        <v>Twitter for Android</v>
      </c>
      <c r="L47" s="17">
        <v>1013</v>
      </c>
      <c r="M47" s="17">
        <v>2629</v>
      </c>
      <c r="N47" s="17">
        <v>68</v>
      </c>
      <c r="O47" s="19"/>
      <c r="P47" s="10">
        <v>40376.763761574075</v>
      </c>
      <c r="Q47" s="20" t="s">
        <v>206</v>
      </c>
      <c r="R47" s="21" t="s">
        <v>207</v>
      </c>
      <c r="S47" s="16" t="s">
        <v>208</v>
      </c>
      <c r="T47" s="15"/>
      <c r="U47" s="14" t="str">
        <f>HYPERLINK("https://pbs.twimg.com/profile_images/1027591872028524545/k9Xatqj3.jpg","View")</f>
        <v>View</v>
      </c>
    </row>
    <row r="48" spans="1:21" ht="30">
      <c r="A48" s="10">
        <v>43346.360520833332</v>
      </c>
      <c r="B48" s="11" t="str">
        <f t="shared" ref="B48:B49" si="17">HYPERLINK("https://twitter.com/CriticalSteph","@CriticalSteph")</f>
        <v>@CriticalSteph</v>
      </c>
      <c r="C48" s="12" t="s">
        <v>209</v>
      </c>
      <c r="D48" s="13" t="s">
        <v>210</v>
      </c>
      <c r="E48" s="14" t="str">
        <f>HYPERLINK("https://twitter.com/CriticalSteph/status/1036639743197544448","1036639743197544448")</f>
        <v>1036639743197544448</v>
      </c>
      <c r="F48" s="15"/>
      <c r="G48" s="15"/>
      <c r="H48" s="15"/>
      <c r="I48" s="17">
        <v>1</v>
      </c>
      <c r="J48" s="17">
        <v>2</v>
      </c>
      <c r="K48" s="18" t="str">
        <f t="shared" si="15"/>
        <v>Twitter for Android</v>
      </c>
      <c r="L48" s="17">
        <v>2083</v>
      </c>
      <c r="M48" s="17">
        <v>2189</v>
      </c>
      <c r="N48" s="17">
        <v>140</v>
      </c>
      <c r="O48" s="19"/>
      <c r="P48" s="10">
        <v>39853.082071759258</v>
      </c>
      <c r="Q48" s="20" t="s">
        <v>211</v>
      </c>
      <c r="R48" s="21" t="s">
        <v>212</v>
      </c>
      <c r="S48" s="16" t="s">
        <v>213</v>
      </c>
      <c r="T48" s="15"/>
      <c r="U48" s="14" t="str">
        <f t="shared" ref="U48:U49" si="18">HYPERLINK("https://pbs.twimg.com/profile_images/619416622705414144/2Tyn4jkC.png","View")</f>
        <v>View</v>
      </c>
    </row>
    <row r="49" spans="1:21" ht="30">
      <c r="A49" s="10">
        <v>43346.358564814815</v>
      </c>
      <c r="B49" s="11" t="str">
        <f t="shared" si="17"/>
        <v>@CriticalSteph</v>
      </c>
      <c r="C49" s="12" t="s">
        <v>209</v>
      </c>
      <c r="D49" s="13" t="s">
        <v>214</v>
      </c>
      <c r="E49" s="14" t="str">
        <f>HYPERLINK("https://twitter.com/CriticalSteph/status/1036639034653790208","1036639034653790208")</f>
        <v>1036639034653790208</v>
      </c>
      <c r="F49" s="15"/>
      <c r="G49" s="15"/>
      <c r="H49" s="15"/>
      <c r="I49" s="17">
        <v>1</v>
      </c>
      <c r="J49" s="17">
        <v>3</v>
      </c>
      <c r="K49" s="18" t="str">
        <f t="shared" si="15"/>
        <v>Twitter for Android</v>
      </c>
      <c r="L49" s="17">
        <v>2083</v>
      </c>
      <c r="M49" s="17">
        <v>2189</v>
      </c>
      <c r="N49" s="17">
        <v>140</v>
      </c>
      <c r="O49" s="19"/>
      <c r="P49" s="10">
        <v>39853.082071759258</v>
      </c>
      <c r="Q49" s="20" t="s">
        <v>211</v>
      </c>
      <c r="R49" s="21" t="s">
        <v>212</v>
      </c>
      <c r="S49" s="16" t="s">
        <v>213</v>
      </c>
      <c r="T49" s="15"/>
      <c r="U49" s="14" t="str">
        <f t="shared" si="18"/>
        <v>View</v>
      </c>
    </row>
    <row r="50" spans="1:21" ht="40">
      <c r="A50" s="10">
        <v>43346.358460648145</v>
      </c>
      <c r="B50" s="11" t="str">
        <f>HYPERLINK("https://twitter.com/Cara_Hirst","@Cara_Hirst")</f>
        <v>@Cara_Hirst</v>
      </c>
      <c r="C50" s="12" t="s">
        <v>37</v>
      </c>
      <c r="D50" s="13" t="s">
        <v>215</v>
      </c>
      <c r="E50" s="14" t="str">
        <f>HYPERLINK("https://twitter.com/Cara_Hirst/status/1036638995806085121","1036638995806085121")</f>
        <v>1036638995806085121</v>
      </c>
      <c r="F50" s="15"/>
      <c r="G50" s="15"/>
      <c r="H50" s="15"/>
      <c r="I50" s="17">
        <v>3</v>
      </c>
      <c r="J50" s="17">
        <v>7</v>
      </c>
      <c r="K50" s="18" t="str">
        <f>HYPERLINK("http://twitter.com/download/iphone","Twitter for iPhone")</f>
        <v>Twitter for iPhone</v>
      </c>
      <c r="L50" s="17">
        <v>107</v>
      </c>
      <c r="M50" s="17">
        <v>126</v>
      </c>
      <c r="N50" s="17">
        <v>0</v>
      </c>
      <c r="O50" s="19"/>
      <c r="P50" s="10">
        <v>42876.36414351852</v>
      </c>
      <c r="Q50" s="20" t="s">
        <v>41</v>
      </c>
      <c r="R50" s="21" t="s">
        <v>42</v>
      </c>
      <c r="S50" s="16" t="s">
        <v>43</v>
      </c>
      <c r="T50" s="15"/>
      <c r="U50" s="14" t="str">
        <f>HYPERLINK("https://pbs.twimg.com/profile_images/1010580953029324800/pVaxjC1u.jpg","View")</f>
        <v>View</v>
      </c>
    </row>
    <row r="51" spans="1:21" ht="20">
      <c r="A51" s="10">
        <v>43346.357870370368</v>
      </c>
      <c r="B51" s="11" t="str">
        <f>HYPERLINK("https://twitter.com/Sarah_DPC","@Sarah_DPC")</f>
        <v>@Sarah_DPC</v>
      </c>
      <c r="C51" s="12" t="s">
        <v>178</v>
      </c>
      <c r="D51" s="13" t="s">
        <v>216</v>
      </c>
      <c r="E51" s="14" t="str">
        <f>HYPERLINK("https://twitter.com/Sarah_DPC/status/1036638783884746754","1036638783884746754")</f>
        <v>1036638783884746754</v>
      </c>
      <c r="F51" s="15"/>
      <c r="G51" s="16" t="s">
        <v>217</v>
      </c>
      <c r="H51" s="15"/>
      <c r="I51" s="17">
        <v>2</v>
      </c>
      <c r="J51" s="17">
        <v>5</v>
      </c>
      <c r="K51" s="18" t="str">
        <f t="shared" ref="K51:K53" si="19">HYPERLINK("http://twitter.com/download/android","Twitter for Android")</f>
        <v>Twitter for Android</v>
      </c>
      <c r="L51" s="17">
        <v>1270</v>
      </c>
      <c r="M51" s="17">
        <v>715</v>
      </c>
      <c r="N51" s="17">
        <v>51</v>
      </c>
      <c r="O51" s="19"/>
      <c r="P51" s="10">
        <v>41373.188576388886</v>
      </c>
      <c r="Q51" s="20" t="s">
        <v>180</v>
      </c>
      <c r="R51" s="21" t="s">
        <v>181</v>
      </c>
      <c r="S51" s="16" t="s">
        <v>182</v>
      </c>
      <c r="T51" s="15"/>
      <c r="U51" s="14" t="str">
        <f>HYPERLINK("https://pbs.twimg.com/profile_images/867263862726434816/K2qoO6sD.jpg","View")</f>
        <v>View</v>
      </c>
    </row>
    <row r="52" spans="1:21" ht="40">
      <c r="A52" s="10">
        <v>43346.354814814811</v>
      </c>
      <c r="B52" s="11" t="str">
        <f>HYPERLINK("https://twitter.com/CKamposiori","@CKamposiori")</f>
        <v>@CKamposiori</v>
      </c>
      <c r="C52" s="12" t="s">
        <v>218</v>
      </c>
      <c r="D52" s="13" t="s">
        <v>219</v>
      </c>
      <c r="E52" s="14" t="str">
        <f>HYPERLINK("https://twitter.com/CKamposiori/status/1036637675846074369","1036637675846074369")</f>
        <v>1036637675846074369</v>
      </c>
      <c r="F52" s="15"/>
      <c r="G52" s="15"/>
      <c r="H52" s="15"/>
      <c r="I52" s="17">
        <v>1</v>
      </c>
      <c r="J52" s="17">
        <v>2</v>
      </c>
      <c r="K52" s="18" t="str">
        <f t="shared" si="19"/>
        <v>Twitter for Android</v>
      </c>
      <c r="L52" s="17">
        <v>1025</v>
      </c>
      <c r="M52" s="17">
        <v>1024</v>
      </c>
      <c r="N52" s="17">
        <v>62</v>
      </c>
      <c r="O52" s="19"/>
      <c r="P52" s="10">
        <v>41035.594293981485</v>
      </c>
      <c r="Q52" s="20" t="s">
        <v>220</v>
      </c>
      <c r="R52" s="21" t="s">
        <v>221</v>
      </c>
      <c r="S52" s="15"/>
      <c r="T52" s="15"/>
      <c r="U52" s="14" t="str">
        <f>HYPERLINK("https://pbs.twimg.com/profile_images/512669996871208960/UyoWDxT7.jpeg","View")</f>
        <v>View</v>
      </c>
    </row>
    <row r="53" spans="1:21" ht="40">
      <c r="A53" s="10">
        <v>43346.353263888886</v>
      </c>
      <c r="B53" s="11" t="str">
        <f>HYPERLINK("https://twitter.com/MrSoupSpoon","@MrSoupSpoon")</f>
        <v>@MrSoupSpoon</v>
      </c>
      <c r="C53" s="12" t="s">
        <v>222</v>
      </c>
      <c r="D53" s="13" t="s">
        <v>223</v>
      </c>
      <c r="E53" s="14" t="str">
        <f>HYPERLINK("https://twitter.com/MrSoupSpoon/status/1036637114832699395","1036637114832699395")</f>
        <v>1036637114832699395</v>
      </c>
      <c r="F53" s="15"/>
      <c r="G53" s="15"/>
      <c r="H53" s="15"/>
      <c r="I53" s="17">
        <v>2</v>
      </c>
      <c r="J53" s="17">
        <v>4</v>
      </c>
      <c r="K53" s="18" t="str">
        <f t="shared" si="19"/>
        <v>Twitter for Android</v>
      </c>
      <c r="L53" s="17">
        <v>677</v>
      </c>
      <c r="M53" s="17">
        <v>2552</v>
      </c>
      <c r="N53" s="17">
        <v>10</v>
      </c>
      <c r="O53" s="19"/>
      <c r="P53" s="10">
        <v>39875.569189814814</v>
      </c>
      <c r="Q53" s="20" t="s">
        <v>224</v>
      </c>
      <c r="R53" s="21" t="s">
        <v>225</v>
      </c>
      <c r="S53" s="16" t="s">
        <v>226</v>
      </c>
      <c r="T53" s="15"/>
      <c r="U53" s="14" t="str">
        <f>HYPERLINK("https://pbs.twimg.com/profile_images/951195777589743616/I4PyvXG5.jpg","View")</f>
        <v>View</v>
      </c>
    </row>
    <row r="54" spans="1:21" ht="30">
      <c r="A54" s="10">
        <v>43346.352442129632</v>
      </c>
      <c r="B54" s="11" t="str">
        <f>HYPERLINK("https://twitter.com/ellie__miles","@ellie__miles")</f>
        <v>@ellie__miles</v>
      </c>
      <c r="C54" s="12" t="s">
        <v>227</v>
      </c>
      <c r="D54" s="13" t="s">
        <v>228</v>
      </c>
      <c r="E54" s="14" t="str">
        <f>HYPERLINK("https://twitter.com/ellie__miles/status/1036636816533843968","1036636816533843968")</f>
        <v>1036636816533843968</v>
      </c>
      <c r="F54" s="15"/>
      <c r="G54" s="15"/>
      <c r="H54" s="15"/>
      <c r="I54" s="17">
        <v>2</v>
      </c>
      <c r="J54" s="17">
        <v>7</v>
      </c>
      <c r="K54" s="18" t="str">
        <f>HYPERLINK("http://twitter.com","Twitter Web Client")</f>
        <v>Twitter Web Client</v>
      </c>
      <c r="L54" s="17">
        <v>1051</v>
      </c>
      <c r="M54" s="17">
        <v>645</v>
      </c>
      <c r="N54" s="17">
        <v>29</v>
      </c>
      <c r="O54" s="19"/>
      <c r="P54" s="10">
        <v>41065.331909722227</v>
      </c>
      <c r="Q54" s="20" t="s">
        <v>56</v>
      </c>
      <c r="R54" s="21" t="s">
        <v>229</v>
      </c>
      <c r="S54" s="16" t="s">
        <v>230</v>
      </c>
      <c r="T54" s="15"/>
      <c r="U54" s="14" t="str">
        <f>HYPERLINK("https://pbs.twimg.com/profile_images/1017465512325009408/sUSUo4fg.jpg","View")</f>
        <v>View</v>
      </c>
    </row>
    <row r="55" spans="1:21" ht="30">
      <c r="A55" s="10">
        <v>43346.350381944445</v>
      </c>
      <c r="B55" s="11" t="str">
        <f>HYPERLINK("https://twitter.com/Archaeovision","@Archaeovision")</f>
        <v>@Archaeovision</v>
      </c>
      <c r="C55" s="12" t="s">
        <v>231</v>
      </c>
      <c r="D55" s="13" t="s">
        <v>232</v>
      </c>
      <c r="E55" s="14" t="str">
        <f>HYPERLINK("https://twitter.com/Archaeovision/status/1036636069599621121","1036636069599621121")</f>
        <v>1036636069599621121</v>
      </c>
      <c r="F55" s="16" t="s">
        <v>233</v>
      </c>
      <c r="G55" s="15"/>
      <c r="H55" s="15"/>
      <c r="I55" s="17">
        <v>6</v>
      </c>
      <c r="J55" s="17">
        <v>5</v>
      </c>
      <c r="K55" s="18" t="str">
        <f t="shared" ref="K55:K57" si="20">HYPERLINK("http://twitter.com/download/android","Twitter for Android")</f>
        <v>Twitter for Android</v>
      </c>
      <c r="L55" s="17">
        <v>565</v>
      </c>
      <c r="M55" s="17">
        <v>486</v>
      </c>
      <c r="N55" s="17">
        <v>14</v>
      </c>
      <c r="O55" s="19"/>
      <c r="P55" s="10">
        <v>41487.218530092592</v>
      </c>
      <c r="Q55" s="20" t="s">
        <v>234</v>
      </c>
      <c r="R55" s="21" t="s">
        <v>235</v>
      </c>
      <c r="S55" s="16" t="s">
        <v>236</v>
      </c>
      <c r="T55" s="15"/>
      <c r="U55" s="14" t="str">
        <f>HYPERLINK("https://pbs.twimg.com/profile_images/723078996871790596/T7FDA4_d.jpg","View")</f>
        <v>View</v>
      </c>
    </row>
    <row r="56" spans="1:21" ht="60">
      <c r="A56" s="10">
        <v>43346.350162037037</v>
      </c>
      <c r="B56" s="11" t="str">
        <f>HYPERLINK("https://twitter.com/GeorgiaMallin","@GeorgiaMallin")</f>
        <v>@GeorgiaMallin</v>
      </c>
      <c r="C56" s="12" t="s">
        <v>126</v>
      </c>
      <c r="D56" s="13" t="s">
        <v>237</v>
      </c>
      <c r="E56" s="14" t="str">
        <f>HYPERLINK("https://twitter.com/GeorgiaMallin/status/1036635990075555840","1036635990075555840")</f>
        <v>1036635990075555840</v>
      </c>
      <c r="F56" s="15"/>
      <c r="G56" s="16" t="s">
        <v>238</v>
      </c>
      <c r="H56" s="15"/>
      <c r="I56" s="17">
        <v>6</v>
      </c>
      <c r="J56" s="17">
        <v>11</v>
      </c>
      <c r="K56" s="18" t="str">
        <f t="shared" si="20"/>
        <v>Twitter for Android</v>
      </c>
      <c r="L56" s="17">
        <v>528</v>
      </c>
      <c r="M56" s="17">
        <v>1025</v>
      </c>
      <c r="N56" s="17">
        <v>11</v>
      </c>
      <c r="O56" s="19"/>
      <c r="P56" s="10">
        <v>40905.701087962967</v>
      </c>
      <c r="Q56" s="20" t="s">
        <v>41</v>
      </c>
      <c r="R56" s="21" t="s">
        <v>128</v>
      </c>
      <c r="S56" s="15"/>
      <c r="T56" s="15"/>
      <c r="U56" s="14" t="str">
        <f>HYPERLINK("https://pbs.twimg.com/profile_images/874631103193206784/akQp_6iv.jpg","View")</f>
        <v>View</v>
      </c>
    </row>
    <row r="57" spans="1:21" ht="20">
      <c r="A57" s="10">
        <v>43346.350127314814</v>
      </c>
      <c r="B57" s="11" t="str">
        <f>HYPERLINK("https://twitter.com/Sarah_DPC","@Sarah_DPC")</f>
        <v>@Sarah_DPC</v>
      </c>
      <c r="C57" s="12" t="s">
        <v>178</v>
      </c>
      <c r="D57" s="13" t="s">
        <v>239</v>
      </c>
      <c r="E57" s="14" t="str">
        <f>HYPERLINK("https://twitter.com/Sarah_DPC/status/1036635978276986883","1036635978276986883")</f>
        <v>1036635978276986883</v>
      </c>
      <c r="F57" s="15"/>
      <c r="G57" s="16" t="s">
        <v>240</v>
      </c>
      <c r="H57" s="15"/>
      <c r="I57" s="17">
        <v>1</v>
      </c>
      <c r="J57" s="17">
        <v>4</v>
      </c>
      <c r="K57" s="18" t="str">
        <f t="shared" si="20"/>
        <v>Twitter for Android</v>
      </c>
      <c r="L57" s="17">
        <v>1270</v>
      </c>
      <c r="M57" s="17">
        <v>715</v>
      </c>
      <c r="N57" s="17">
        <v>51</v>
      </c>
      <c r="O57" s="19"/>
      <c r="P57" s="10">
        <v>41373.188576388886</v>
      </c>
      <c r="Q57" s="20" t="s">
        <v>180</v>
      </c>
      <c r="R57" s="21" t="s">
        <v>181</v>
      </c>
      <c r="S57" s="16" t="s">
        <v>182</v>
      </c>
      <c r="T57" s="15"/>
      <c r="U57" s="14" t="str">
        <f>HYPERLINK("https://pbs.twimg.com/profile_images/867263862726434816/K2qoO6sD.jpg","View")</f>
        <v>View</v>
      </c>
    </row>
    <row r="58" spans="1:21" ht="40">
      <c r="A58" s="10">
        <v>43346.34856481482</v>
      </c>
      <c r="B58" s="11" t="str">
        <f>HYPERLINK("https://twitter.com/digitalpunctum","@digitalpunctum")</f>
        <v>@digitalpunctum</v>
      </c>
      <c r="C58" s="12" t="s">
        <v>122</v>
      </c>
      <c r="D58" s="13" t="s">
        <v>241</v>
      </c>
      <c r="E58" s="14" t="str">
        <f>HYPERLINK("https://twitter.com/digitalpunctum/status/1036635410502504448","1036635410502504448")</f>
        <v>1036635410502504448</v>
      </c>
      <c r="F58" s="15"/>
      <c r="G58" s="16" t="s">
        <v>242</v>
      </c>
      <c r="H58" s="15"/>
      <c r="I58" s="17">
        <v>1</v>
      </c>
      <c r="J58" s="17">
        <v>6</v>
      </c>
      <c r="K58" s="18" t="str">
        <f>HYPERLINK("https://mobile.twitter.com","Twitter Lite")</f>
        <v>Twitter Lite</v>
      </c>
      <c r="L58" s="17">
        <v>208</v>
      </c>
      <c r="M58" s="17">
        <v>579</v>
      </c>
      <c r="N58" s="17">
        <v>2</v>
      </c>
      <c r="O58" s="19"/>
      <c r="P58" s="10">
        <v>43192.546041666668</v>
      </c>
      <c r="Q58" s="15"/>
      <c r="R58" s="21" t="s">
        <v>125</v>
      </c>
      <c r="S58" s="15"/>
      <c r="T58" s="15"/>
      <c r="U58" s="14" t="str">
        <f>HYPERLINK("https://pbs.twimg.com/profile_images/991669288556785664/stw8Ki5o.jpg","View")</f>
        <v>View</v>
      </c>
    </row>
    <row r="59" spans="1:21" ht="30">
      <c r="A59" s="10">
        <v>43346.348148148143</v>
      </c>
      <c r="B59" s="11" t="str">
        <f>HYPERLINK("https://twitter.com/amkelleher1","@amkelleher1")</f>
        <v>@amkelleher1</v>
      </c>
      <c r="C59" s="12" t="s">
        <v>243</v>
      </c>
      <c r="D59" s="13" t="s">
        <v>244</v>
      </c>
      <c r="E59" s="14" t="str">
        <f>HYPERLINK("https://twitter.com/amkelleher1/status/1036635259943772162","1036635259943772162")</f>
        <v>1036635259943772162</v>
      </c>
      <c r="F59" s="15"/>
      <c r="G59" s="15"/>
      <c r="H59" s="15"/>
      <c r="I59" s="17">
        <v>5</v>
      </c>
      <c r="J59" s="17">
        <v>9</v>
      </c>
      <c r="K59" s="18" t="str">
        <f t="shared" ref="K59:K60" si="21">HYPERLINK("http://twitter.com/download/android","Twitter for Android")</f>
        <v>Twitter for Android</v>
      </c>
      <c r="L59" s="17">
        <v>537</v>
      </c>
      <c r="M59" s="17">
        <v>784</v>
      </c>
      <c r="N59" s="17">
        <v>24</v>
      </c>
      <c r="O59" s="19"/>
      <c r="P59" s="10">
        <v>40726.868530092594</v>
      </c>
      <c r="Q59" s="20" t="s">
        <v>245</v>
      </c>
      <c r="R59" s="21" t="s">
        <v>246</v>
      </c>
      <c r="S59" s="16" t="s">
        <v>247</v>
      </c>
      <c r="T59" s="15"/>
      <c r="U59" s="14" t="str">
        <f>HYPERLINK("https://pbs.twimg.com/profile_images/829771558935785473/D5xq017x.jpg","View")</f>
        <v>View</v>
      </c>
    </row>
    <row r="60" spans="1:21" ht="30">
      <c r="A60" s="10">
        <v>43346.347581018519</v>
      </c>
      <c r="B60" s="11" t="str">
        <f>HYPERLINK("https://twitter.com/CriticalSteph","@CriticalSteph")</f>
        <v>@CriticalSteph</v>
      </c>
      <c r="C60" s="12" t="s">
        <v>209</v>
      </c>
      <c r="D60" s="13" t="s">
        <v>248</v>
      </c>
      <c r="E60" s="14" t="str">
        <f>HYPERLINK("https://twitter.com/CriticalSteph/status/1036635053676273666","1036635053676273666")</f>
        <v>1036635053676273666</v>
      </c>
      <c r="F60" s="15"/>
      <c r="G60" s="15"/>
      <c r="H60" s="15"/>
      <c r="I60" s="17">
        <v>0</v>
      </c>
      <c r="J60" s="17">
        <v>2</v>
      </c>
      <c r="K60" s="18" t="str">
        <f t="shared" si="21"/>
        <v>Twitter for Android</v>
      </c>
      <c r="L60" s="17">
        <v>2083</v>
      </c>
      <c r="M60" s="17">
        <v>2189</v>
      </c>
      <c r="N60" s="17">
        <v>140</v>
      </c>
      <c r="O60" s="19"/>
      <c r="P60" s="10">
        <v>39853.082071759258</v>
      </c>
      <c r="Q60" s="20" t="s">
        <v>211</v>
      </c>
      <c r="R60" s="21" t="s">
        <v>212</v>
      </c>
      <c r="S60" s="16" t="s">
        <v>213</v>
      </c>
      <c r="T60" s="15"/>
      <c r="U60" s="14" t="str">
        <f>HYPERLINK("https://pbs.twimg.com/profile_images/619416622705414144/2Tyn4jkC.png","View")</f>
        <v>View</v>
      </c>
    </row>
    <row r="61" spans="1:21" ht="40">
      <c r="A61" s="10">
        <v>43346.345127314809</v>
      </c>
      <c r="B61" s="11" t="str">
        <f>HYPERLINK("https://twitter.com/ElisaGravil","@ElisaGravil")</f>
        <v>@ElisaGravil</v>
      </c>
      <c r="C61" s="12" t="s">
        <v>138</v>
      </c>
      <c r="D61" s="13" t="s">
        <v>249</v>
      </c>
      <c r="E61" s="14" t="str">
        <f>HYPERLINK("https://twitter.com/ElisaGravil/status/1036634164798349312","1036634164798349312")</f>
        <v>1036634164798349312</v>
      </c>
      <c r="F61" s="15"/>
      <c r="G61" s="16" t="s">
        <v>250</v>
      </c>
      <c r="H61" s="15"/>
      <c r="I61" s="17">
        <v>0</v>
      </c>
      <c r="J61" s="17">
        <v>1</v>
      </c>
      <c r="K61" s="18" t="str">
        <f>HYPERLINK("http://twitter.com/download/iphone","Twitter for iPhone")</f>
        <v>Twitter for iPhone</v>
      </c>
      <c r="L61" s="17">
        <v>704</v>
      </c>
      <c r="M61" s="17">
        <v>1378</v>
      </c>
      <c r="N61" s="17">
        <v>18</v>
      </c>
      <c r="O61" s="19"/>
      <c r="P61" s="10">
        <v>40164.047962962963</v>
      </c>
      <c r="Q61" s="20" t="s">
        <v>141</v>
      </c>
      <c r="R61" s="21" t="s">
        <v>142</v>
      </c>
      <c r="S61" s="16" t="s">
        <v>143</v>
      </c>
      <c r="T61" s="15"/>
      <c r="U61" s="14" t="str">
        <f>HYPERLINK("https://pbs.twimg.com/profile_images/943772601150820353/-K75sKA9.jpg","View")</f>
        <v>View</v>
      </c>
    </row>
    <row r="62" spans="1:21" ht="40">
      <c r="A62" s="10">
        <v>43346.342627314814</v>
      </c>
      <c r="B62" s="11" t="str">
        <f>HYPERLINK("https://twitter.com/digitalpunctum","@digitalpunctum")</f>
        <v>@digitalpunctum</v>
      </c>
      <c r="C62" s="12" t="s">
        <v>122</v>
      </c>
      <c r="D62" s="13" t="s">
        <v>251</v>
      </c>
      <c r="E62" s="14" t="str">
        <f>HYPERLINK("https://twitter.com/digitalpunctum/status/1036633260967768064","1036633260967768064")</f>
        <v>1036633260967768064</v>
      </c>
      <c r="F62" s="15"/>
      <c r="G62" s="16" t="s">
        <v>252</v>
      </c>
      <c r="H62" s="15"/>
      <c r="I62" s="17">
        <v>4</v>
      </c>
      <c r="J62" s="17">
        <v>8</v>
      </c>
      <c r="K62" s="18" t="str">
        <f>HYPERLINK("https://mobile.twitter.com","Twitter Lite")</f>
        <v>Twitter Lite</v>
      </c>
      <c r="L62" s="17">
        <v>208</v>
      </c>
      <c r="M62" s="17">
        <v>579</v>
      </c>
      <c r="N62" s="17">
        <v>2</v>
      </c>
      <c r="O62" s="19"/>
      <c r="P62" s="10">
        <v>43192.546041666668</v>
      </c>
      <c r="Q62" s="15"/>
      <c r="R62" s="21" t="s">
        <v>125</v>
      </c>
      <c r="S62" s="15"/>
      <c r="T62" s="15"/>
      <c r="U62" s="14" t="str">
        <f>HYPERLINK("https://pbs.twimg.com/profile_images/991669288556785664/stw8Ki5o.jpg","View")</f>
        <v>View</v>
      </c>
    </row>
    <row r="63" spans="1:21" ht="30">
      <c r="A63" s="10">
        <v>43346.341435185182</v>
      </c>
      <c r="B63" s="11" t="str">
        <f>HYPERLINK("https://twitter.com/CriticalSteph","@CriticalSteph")</f>
        <v>@CriticalSteph</v>
      </c>
      <c r="C63" s="12" t="s">
        <v>209</v>
      </c>
      <c r="D63" s="13" t="s">
        <v>253</v>
      </c>
      <c r="E63" s="14" t="str">
        <f>HYPERLINK("https://twitter.com/CriticalSteph/status/1036632827033526272","1036632827033526272")</f>
        <v>1036632827033526272</v>
      </c>
      <c r="F63" s="15"/>
      <c r="G63" s="15"/>
      <c r="H63" s="15"/>
      <c r="I63" s="17">
        <v>4</v>
      </c>
      <c r="J63" s="17">
        <v>8</v>
      </c>
      <c r="K63" s="18" t="str">
        <f>HYPERLINK("http://twitter.com/download/android","Twitter for Android")</f>
        <v>Twitter for Android</v>
      </c>
      <c r="L63" s="17">
        <v>2083</v>
      </c>
      <c r="M63" s="17">
        <v>2189</v>
      </c>
      <c r="N63" s="17">
        <v>140</v>
      </c>
      <c r="O63" s="19"/>
      <c r="P63" s="10">
        <v>39853.082071759258</v>
      </c>
      <c r="Q63" s="20" t="s">
        <v>211</v>
      </c>
      <c r="R63" s="21" t="s">
        <v>212</v>
      </c>
      <c r="S63" s="16" t="s">
        <v>213</v>
      </c>
      <c r="T63" s="15"/>
      <c r="U63" s="14" t="str">
        <f>HYPERLINK("https://pbs.twimg.com/profile_images/619416622705414144/2Tyn4jkC.png","View")</f>
        <v>View</v>
      </c>
    </row>
    <row r="64" spans="1:21" ht="40">
      <c r="A64" s="10">
        <v>43346.341412037036</v>
      </c>
      <c r="B64" s="11" t="str">
        <f>HYPERLINK("https://twitter.com/HiImpactSimon","@HiImpactSimon")</f>
        <v>@HiImpactSimon</v>
      </c>
      <c r="C64" s="12" t="s">
        <v>99</v>
      </c>
      <c r="D64" s="13" t="s">
        <v>254</v>
      </c>
      <c r="E64" s="14" t="str">
        <f>HYPERLINK("https://twitter.com/HiImpactSimon/status/1036632818888200192","1036632818888200192")</f>
        <v>1036632818888200192</v>
      </c>
      <c r="F64" s="15"/>
      <c r="G64" s="16" t="s">
        <v>255</v>
      </c>
      <c r="H64" s="15"/>
      <c r="I64" s="17">
        <v>6</v>
      </c>
      <c r="J64" s="17">
        <v>5</v>
      </c>
      <c r="K64" s="18" t="str">
        <f>HYPERLINK("http://twitter.com/download/iphone","Twitter for iPhone")</f>
        <v>Twitter for iPhone</v>
      </c>
      <c r="L64" s="17">
        <v>1035</v>
      </c>
      <c r="M64" s="17">
        <v>1581</v>
      </c>
      <c r="N64" s="17">
        <v>139</v>
      </c>
      <c r="O64" s="19"/>
      <c r="P64" s="10">
        <v>40856.547673611109</v>
      </c>
      <c r="Q64" s="20" t="s">
        <v>102</v>
      </c>
      <c r="R64" s="21" t="s">
        <v>103</v>
      </c>
      <c r="S64" s="16" t="s">
        <v>104</v>
      </c>
      <c r="T64" s="15"/>
      <c r="U64" s="14" t="str">
        <f>HYPERLINK("https://pbs.twimg.com/profile_images/1036673707341742080/t0dSK5HI.jpg","View")</f>
        <v>View</v>
      </c>
    </row>
    <row r="65" spans="1:21" ht="40">
      <c r="A65" s="10">
        <v>43346.341319444444</v>
      </c>
      <c r="B65" s="11" t="str">
        <f>HYPERLINK("https://twitter.com/GeorgiaMallin","@GeorgiaMallin")</f>
        <v>@GeorgiaMallin</v>
      </c>
      <c r="C65" s="12" t="s">
        <v>126</v>
      </c>
      <c r="D65" s="13" t="s">
        <v>256</v>
      </c>
      <c r="E65" s="14" t="str">
        <f>HYPERLINK("https://twitter.com/GeorgiaMallin/status/1036632787602821120","1036632787602821120")</f>
        <v>1036632787602821120</v>
      </c>
      <c r="F65" s="15"/>
      <c r="G65" s="16" t="s">
        <v>257</v>
      </c>
      <c r="H65" s="15"/>
      <c r="I65" s="17">
        <v>2</v>
      </c>
      <c r="J65" s="17">
        <v>8</v>
      </c>
      <c r="K65" s="18" t="str">
        <f>HYPERLINK("http://twitter.com/download/android","Twitter for Android")</f>
        <v>Twitter for Android</v>
      </c>
      <c r="L65" s="17">
        <v>528</v>
      </c>
      <c r="M65" s="17">
        <v>1025</v>
      </c>
      <c r="N65" s="17">
        <v>11</v>
      </c>
      <c r="O65" s="19"/>
      <c r="P65" s="10">
        <v>40905.701087962967</v>
      </c>
      <c r="Q65" s="20" t="s">
        <v>41</v>
      </c>
      <c r="R65" s="21" t="s">
        <v>128</v>
      </c>
      <c r="S65" s="15"/>
      <c r="T65" s="15"/>
      <c r="U65" s="14" t="str">
        <f>HYPERLINK("https://pbs.twimg.com/profile_images/874631103193206784/akQp_6iv.jpg","View")</f>
        <v>View</v>
      </c>
    </row>
    <row r="66" spans="1:21" ht="40">
      <c r="A66" s="10">
        <v>43346.340104166666</v>
      </c>
      <c r="B66" s="11" t="str">
        <f>HYPERLINK("https://twitter.com/ellie__miles","@ellie__miles")</f>
        <v>@ellie__miles</v>
      </c>
      <c r="C66" s="12" t="s">
        <v>227</v>
      </c>
      <c r="D66" s="13" t="s">
        <v>258</v>
      </c>
      <c r="E66" s="14" t="str">
        <f>HYPERLINK("https://twitter.com/ellie__miles/status/1036632344575332353","1036632344575332353")</f>
        <v>1036632344575332353</v>
      </c>
      <c r="F66" s="15"/>
      <c r="G66" s="15"/>
      <c r="H66" s="15"/>
      <c r="I66" s="17">
        <v>3</v>
      </c>
      <c r="J66" s="17">
        <v>2</v>
      </c>
      <c r="K66" s="18" t="str">
        <f>HYPERLINK("http://twitter.com","Twitter Web Client")</f>
        <v>Twitter Web Client</v>
      </c>
      <c r="L66" s="17">
        <v>1051</v>
      </c>
      <c r="M66" s="17">
        <v>645</v>
      </c>
      <c r="N66" s="17">
        <v>29</v>
      </c>
      <c r="O66" s="19"/>
      <c r="P66" s="10">
        <v>41065.331909722227</v>
      </c>
      <c r="Q66" s="20" t="s">
        <v>56</v>
      </c>
      <c r="R66" s="21" t="s">
        <v>229</v>
      </c>
      <c r="S66" s="16" t="s">
        <v>230</v>
      </c>
      <c r="T66" s="15"/>
      <c r="U66" s="14" t="str">
        <f>HYPERLINK("https://pbs.twimg.com/profile_images/1017465512325009408/sUSUo4fg.jpg","View")</f>
        <v>View</v>
      </c>
    </row>
    <row r="67" spans="1:21" ht="30">
      <c r="A67" s="10">
        <v>43346.339432870373</v>
      </c>
      <c r="B67" s="11" t="str">
        <f>HYPERLINK("https://twitter.com/ariasmariap","@ariasmariap")</f>
        <v>@ariasmariap</v>
      </c>
      <c r="C67" s="12" t="s">
        <v>78</v>
      </c>
      <c r="D67" s="13" t="s">
        <v>259</v>
      </c>
      <c r="E67" s="14" t="str">
        <f>HYPERLINK("https://twitter.com/ariasmariap/status/1036632101423071233","1036632101423071233")</f>
        <v>1036632101423071233</v>
      </c>
      <c r="F67" s="15"/>
      <c r="G67" s="16" t="s">
        <v>260</v>
      </c>
      <c r="H67" s="15"/>
      <c r="I67" s="17">
        <v>1</v>
      </c>
      <c r="J67" s="17">
        <v>4</v>
      </c>
      <c r="K67" s="18" t="str">
        <f>HYPERLINK("http://twitter.com/download/iphone","Twitter for iPhone")</f>
        <v>Twitter for iPhone</v>
      </c>
      <c r="L67" s="17">
        <v>701</v>
      </c>
      <c r="M67" s="17">
        <v>1482</v>
      </c>
      <c r="N67" s="17">
        <v>30</v>
      </c>
      <c r="O67" s="19"/>
      <c r="P67" s="10">
        <v>40598.646608796298</v>
      </c>
      <c r="Q67" s="20" t="s">
        <v>69</v>
      </c>
      <c r="R67" s="21" t="s">
        <v>81</v>
      </c>
      <c r="S67" s="16" t="s">
        <v>82</v>
      </c>
      <c r="T67" s="15"/>
      <c r="U67" s="14" t="str">
        <f>HYPERLINK("https://pbs.twimg.com/profile_images/960267047631491074/kA0rW9c9.jpg","View")</f>
        <v>View</v>
      </c>
    </row>
    <row r="68" spans="1:21" ht="40">
      <c r="A68" s="10">
        <v>43346.33861111111</v>
      </c>
      <c r="B68" s="11" t="str">
        <f>HYPERLINK("https://twitter.com/VikingJunky","@VikingJunky")</f>
        <v>@VikingJunky</v>
      </c>
      <c r="C68" s="12" t="s">
        <v>261</v>
      </c>
      <c r="D68" s="13" t="s">
        <v>262</v>
      </c>
      <c r="E68" s="14" t="str">
        <f>HYPERLINK("https://twitter.com/VikingJunky/status/1036631804009177089","1036631804009177089")</f>
        <v>1036631804009177089</v>
      </c>
      <c r="F68" s="15"/>
      <c r="G68" s="16" t="s">
        <v>263</v>
      </c>
      <c r="H68" s="15"/>
      <c r="I68" s="17">
        <v>1</v>
      </c>
      <c r="J68" s="17">
        <v>2</v>
      </c>
      <c r="K68" s="18" t="str">
        <f>HYPERLINK("http://twitter.com/download/android","Twitter for Android")</f>
        <v>Twitter for Android</v>
      </c>
      <c r="L68" s="17">
        <v>89</v>
      </c>
      <c r="M68" s="17">
        <v>351</v>
      </c>
      <c r="N68" s="17">
        <v>4</v>
      </c>
      <c r="O68" s="19"/>
      <c r="P68" s="10">
        <v>41612.340254629627</v>
      </c>
      <c r="Q68" s="20" t="s">
        <v>220</v>
      </c>
      <c r="R68" s="21" t="s">
        <v>264</v>
      </c>
      <c r="S68" s="15"/>
      <c r="T68" s="15"/>
      <c r="U68" s="14" t="str">
        <f>HYPERLINK("https://pbs.twimg.com/profile_images/1002846620017360896/krg2KG-n.jpg","View")</f>
        <v>View</v>
      </c>
    </row>
    <row r="69" spans="1:21" ht="40">
      <c r="A69" s="10">
        <v>43346.337534722217</v>
      </c>
      <c r="B69" s="11" t="str">
        <f>HYPERLINK("https://twitter.com/Cara_Hirst","@Cara_Hirst")</f>
        <v>@Cara_Hirst</v>
      </c>
      <c r="C69" s="12" t="s">
        <v>37</v>
      </c>
      <c r="D69" s="13" t="s">
        <v>265</v>
      </c>
      <c r="E69" s="14" t="str">
        <f>HYPERLINK("https://twitter.com/Cara_Hirst/status/1036631415507562496","1036631415507562496")</f>
        <v>1036631415507562496</v>
      </c>
      <c r="F69" s="15"/>
      <c r="G69" s="16" t="s">
        <v>266</v>
      </c>
      <c r="H69" s="15"/>
      <c r="I69" s="17">
        <v>3</v>
      </c>
      <c r="J69" s="17">
        <v>5</v>
      </c>
      <c r="K69" s="18" t="str">
        <f>HYPERLINK("http://twitter.com/download/iphone","Twitter for iPhone")</f>
        <v>Twitter for iPhone</v>
      </c>
      <c r="L69" s="17">
        <v>107</v>
      </c>
      <c r="M69" s="17">
        <v>126</v>
      </c>
      <c r="N69" s="17">
        <v>0</v>
      </c>
      <c r="O69" s="19"/>
      <c r="P69" s="10">
        <v>42876.36414351852</v>
      </c>
      <c r="Q69" s="20" t="s">
        <v>41</v>
      </c>
      <c r="R69" s="21" t="s">
        <v>42</v>
      </c>
      <c r="S69" s="16" t="s">
        <v>43</v>
      </c>
      <c r="T69" s="15"/>
      <c r="U69" s="14" t="str">
        <f>HYPERLINK("https://pbs.twimg.com/profile_images/1010580953029324800/pVaxjC1u.jpg","View")</f>
        <v>View</v>
      </c>
    </row>
    <row r="70" spans="1:21" ht="30">
      <c r="A70" s="10">
        <v>43346.337152777778</v>
      </c>
      <c r="B70" s="11" t="str">
        <f>HYPERLINK("https://twitter.com/21stCenturySF","@21stCenturySF")</f>
        <v>@21stCenturySF</v>
      </c>
      <c r="C70" s="12" t="s">
        <v>267</v>
      </c>
      <c r="D70" s="13" t="s">
        <v>268</v>
      </c>
      <c r="E70" s="14" t="str">
        <f>HYPERLINK("https://twitter.com/21stCenturySF/status/1036631276051197953","1036631276051197953")</f>
        <v>1036631276051197953</v>
      </c>
      <c r="F70" s="15"/>
      <c r="G70" s="16" t="s">
        <v>196</v>
      </c>
      <c r="H70" s="15"/>
      <c r="I70" s="17">
        <v>1</v>
      </c>
      <c r="J70" s="17">
        <v>1</v>
      </c>
      <c r="K70" s="18" t="str">
        <f>HYPERLINK("http://twitter.com","Twitter Web Client")</f>
        <v>Twitter Web Client</v>
      </c>
      <c r="L70" s="17">
        <v>5520</v>
      </c>
      <c r="M70" s="17">
        <v>4921</v>
      </c>
      <c r="N70" s="17">
        <v>42</v>
      </c>
      <c r="O70" s="19"/>
      <c r="P70" s="10">
        <v>41398.32335648148</v>
      </c>
      <c r="Q70" s="20" t="s">
        <v>269</v>
      </c>
      <c r="R70" s="21" t="s">
        <v>270</v>
      </c>
      <c r="S70" s="15"/>
      <c r="T70" s="15"/>
      <c r="U70" s="14" t="str">
        <f>HYPERLINK("https://pbs.twimg.com/profile_images/876885716122427393/Ewnkv26_.jpg","View")</f>
        <v>View</v>
      </c>
    </row>
    <row r="71" spans="1:21" ht="70">
      <c r="A71" s="10">
        <v>43346.336689814816</v>
      </c>
      <c r="B71" s="11" t="str">
        <f>HYPERLINK("https://twitter.com/GeorgiaMallin","@GeorgiaMallin")</f>
        <v>@GeorgiaMallin</v>
      </c>
      <c r="C71" s="12" t="s">
        <v>126</v>
      </c>
      <c r="D71" s="13" t="s">
        <v>271</v>
      </c>
      <c r="E71" s="14" t="str">
        <f>HYPERLINK("https://twitter.com/GeorgiaMallin/status/1036631108627128320","1036631108627128320")</f>
        <v>1036631108627128320</v>
      </c>
      <c r="F71" s="16" t="s">
        <v>272</v>
      </c>
      <c r="G71" s="15"/>
      <c r="H71" s="15"/>
      <c r="I71" s="17">
        <v>2</v>
      </c>
      <c r="J71" s="17">
        <v>5</v>
      </c>
      <c r="K71" s="18" t="str">
        <f t="shared" ref="K71:K72" si="22">HYPERLINK("http://twitter.com/download/android","Twitter for Android")</f>
        <v>Twitter for Android</v>
      </c>
      <c r="L71" s="17">
        <v>528</v>
      </c>
      <c r="M71" s="17">
        <v>1025</v>
      </c>
      <c r="N71" s="17">
        <v>11</v>
      </c>
      <c r="O71" s="19"/>
      <c r="P71" s="10">
        <v>40905.701087962967</v>
      </c>
      <c r="Q71" s="20" t="s">
        <v>41</v>
      </c>
      <c r="R71" s="21" t="s">
        <v>128</v>
      </c>
      <c r="S71" s="15"/>
      <c r="T71" s="15"/>
      <c r="U71" s="14" t="str">
        <f>HYPERLINK("https://pbs.twimg.com/profile_images/874631103193206784/akQp_6iv.jpg","View")</f>
        <v>View</v>
      </c>
    </row>
    <row r="72" spans="1:21" ht="30">
      <c r="A72" s="10">
        <v>43346.336493055554</v>
      </c>
      <c r="B72" s="11" t="str">
        <f>HYPERLINK("https://twitter.com/FayeFortitude","@FayeFortitude")</f>
        <v>@FayeFortitude</v>
      </c>
      <c r="C72" s="12" t="s">
        <v>273</v>
      </c>
      <c r="D72" s="13" t="s">
        <v>274</v>
      </c>
      <c r="E72" s="14" t="str">
        <f>HYPERLINK("https://twitter.com/FayeFortitude/status/1036631038745817089","1036631038745817089")</f>
        <v>1036631038745817089</v>
      </c>
      <c r="F72" s="15"/>
      <c r="G72" s="16" t="s">
        <v>275</v>
      </c>
      <c r="H72" s="15"/>
      <c r="I72" s="17">
        <v>2</v>
      </c>
      <c r="J72" s="17">
        <v>7</v>
      </c>
      <c r="K72" s="18" t="str">
        <f t="shared" si="22"/>
        <v>Twitter for Android</v>
      </c>
      <c r="L72" s="17">
        <v>161</v>
      </c>
      <c r="M72" s="17">
        <v>408</v>
      </c>
      <c r="N72" s="17">
        <v>7</v>
      </c>
      <c r="O72" s="19"/>
      <c r="P72" s="10">
        <v>41297.314189814817</v>
      </c>
      <c r="Q72" s="15"/>
      <c r="R72" s="21" t="s">
        <v>276</v>
      </c>
      <c r="S72" s="15"/>
      <c r="T72" s="15"/>
      <c r="U72" s="14" t="str">
        <f>HYPERLINK("https://pbs.twimg.com/profile_images/775644277825269760/y51zQQM3.jpg","View")</f>
        <v>View</v>
      </c>
    </row>
    <row r="73" spans="1:21" ht="40">
      <c r="A73" s="10">
        <v>43346.334479166668</v>
      </c>
      <c r="B73" s="11" t="str">
        <f>HYPERLINK("https://twitter.com/natalieharrower","@natalieharrower")</f>
        <v>@natalieharrower</v>
      </c>
      <c r="C73" s="12" t="s">
        <v>59</v>
      </c>
      <c r="D73" s="13" t="s">
        <v>277</v>
      </c>
      <c r="E73" s="14" t="str">
        <f>HYPERLINK("https://twitter.com/natalieharrower/status/1036630305136943105","1036630305136943105")</f>
        <v>1036630305136943105</v>
      </c>
      <c r="F73" s="15"/>
      <c r="G73" s="15"/>
      <c r="H73" s="15"/>
      <c r="I73" s="17">
        <v>3</v>
      </c>
      <c r="J73" s="17">
        <v>12</v>
      </c>
      <c r="K73" s="18" t="str">
        <f t="shared" ref="K73:K76" si="23">HYPERLINK("http://twitter.com/download/iphone","Twitter for iPhone")</f>
        <v>Twitter for iPhone</v>
      </c>
      <c r="L73" s="17">
        <v>2422</v>
      </c>
      <c r="M73" s="17">
        <v>2344</v>
      </c>
      <c r="N73" s="17">
        <v>164</v>
      </c>
      <c r="O73" s="19"/>
      <c r="P73" s="10">
        <v>39751.545844907407</v>
      </c>
      <c r="Q73" s="20" t="s">
        <v>61</v>
      </c>
      <c r="R73" s="21" t="s">
        <v>62</v>
      </c>
      <c r="S73" s="16" t="s">
        <v>63</v>
      </c>
      <c r="T73" s="15"/>
      <c r="U73" s="14" t="str">
        <f>HYPERLINK("https://pbs.twimg.com/profile_images/992918977172000769/pPUq69N4.jpg","View")</f>
        <v>View</v>
      </c>
    </row>
    <row r="74" spans="1:21" ht="40">
      <c r="A74" s="10">
        <v>43346.334166666667</v>
      </c>
      <c r="B74" s="11" t="str">
        <f>HYPERLINK("https://twitter.com/NicolePMeehan","@NicolePMeehan")</f>
        <v>@NicolePMeehan</v>
      </c>
      <c r="C74" s="12" t="s">
        <v>105</v>
      </c>
      <c r="D74" s="13" t="s">
        <v>278</v>
      </c>
      <c r="E74" s="14" t="str">
        <f>HYPERLINK("https://twitter.com/NicolePMeehan/status/1036630194881261568","1036630194881261568")</f>
        <v>1036630194881261568</v>
      </c>
      <c r="F74" s="15"/>
      <c r="G74" s="16" t="s">
        <v>279</v>
      </c>
      <c r="H74" s="15"/>
      <c r="I74" s="17">
        <v>5</v>
      </c>
      <c r="J74" s="17">
        <v>8</v>
      </c>
      <c r="K74" s="18" t="str">
        <f t="shared" si="23"/>
        <v>Twitter for iPhone</v>
      </c>
      <c r="L74" s="17">
        <v>221</v>
      </c>
      <c r="M74" s="17">
        <v>167</v>
      </c>
      <c r="N74" s="17">
        <v>8</v>
      </c>
      <c r="O74" s="19"/>
      <c r="P74" s="10">
        <v>40180.658402777779</v>
      </c>
      <c r="Q74" s="20" t="s">
        <v>109</v>
      </c>
      <c r="R74" s="21" t="s">
        <v>110</v>
      </c>
      <c r="S74" s="16" t="s">
        <v>111</v>
      </c>
      <c r="T74" s="15"/>
      <c r="U74" s="14" t="str">
        <f>HYPERLINK("https://pbs.twimg.com/profile_images/933068958151868421/CiyZIYTW.jpg","View")</f>
        <v>View</v>
      </c>
    </row>
    <row r="75" spans="1:21" ht="30">
      <c r="A75" s="10">
        <v>43346.330497685187</v>
      </c>
      <c r="B75" s="11" t="str">
        <f>HYPERLINK("https://twitter.com/hardysarah2000","@hardysarah2000")</f>
        <v>@hardysarah2000</v>
      </c>
      <c r="C75" s="12" t="s">
        <v>280</v>
      </c>
      <c r="D75" s="13" t="s">
        <v>281</v>
      </c>
      <c r="E75" s="14" t="str">
        <f>HYPERLINK("https://twitter.com/hardysarah2000/status/1036628864963895297","1036628864963895297")</f>
        <v>1036628864963895297</v>
      </c>
      <c r="F75" s="15"/>
      <c r="G75" s="16" t="s">
        <v>282</v>
      </c>
      <c r="H75" s="15"/>
      <c r="I75" s="17">
        <v>1</v>
      </c>
      <c r="J75" s="17">
        <v>4</v>
      </c>
      <c r="K75" s="18" t="str">
        <f t="shared" si="23"/>
        <v>Twitter for iPhone</v>
      </c>
      <c r="L75" s="17">
        <v>243</v>
      </c>
      <c r="M75" s="17">
        <v>607</v>
      </c>
      <c r="N75" s="17">
        <v>3</v>
      </c>
      <c r="O75" s="19"/>
      <c r="P75" s="10">
        <v>40069.455868055556</v>
      </c>
      <c r="Q75" s="20" t="s">
        <v>283</v>
      </c>
      <c r="R75" s="21" t="s">
        <v>284</v>
      </c>
      <c r="S75" s="15"/>
      <c r="T75" s="15"/>
      <c r="U75" s="14" t="str">
        <f>HYPERLINK("https://pbs.twimg.com/profile_images/455116201036111872/5v9TlSa4.jpeg","View")</f>
        <v>View</v>
      </c>
    </row>
    <row r="76" spans="1:21" ht="30">
      <c r="A76" s="10">
        <v>43346.330046296294</v>
      </c>
      <c r="B76" s="11" t="str">
        <f>HYPERLINK("https://twitter.com/cewillett1","@cewillett1")</f>
        <v>@cewillett1</v>
      </c>
      <c r="C76" s="12" t="s">
        <v>285</v>
      </c>
      <c r="D76" s="13" t="s">
        <v>286</v>
      </c>
      <c r="E76" s="14" t="str">
        <f>HYPERLINK("https://twitter.com/cewillett1/status/1036628698546491392","1036628698546491392")</f>
        <v>1036628698546491392</v>
      </c>
      <c r="F76" s="15"/>
      <c r="G76" s="16" t="s">
        <v>287</v>
      </c>
      <c r="H76" s="15"/>
      <c r="I76" s="17">
        <v>4</v>
      </c>
      <c r="J76" s="17">
        <v>8</v>
      </c>
      <c r="K76" s="18" t="str">
        <f t="shared" si="23"/>
        <v>Twitter for iPhone</v>
      </c>
      <c r="L76" s="17">
        <v>164</v>
      </c>
      <c r="M76" s="17">
        <v>232</v>
      </c>
      <c r="N76" s="17">
        <v>8</v>
      </c>
      <c r="O76" s="19"/>
      <c r="P76" s="10">
        <v>41697.407939814817</v>
      </c>
      <c r="Q76" s="20" t="s">
        <v>41</v>
      </c>
      <c r="R76" s="21" t="s">
        <v>288</v>
      </c>
      <c r="S76" s="15"/>
      <c r="T76" s="15"/>
      <c r="U76" s="14" t="str">
        <f>HYPERLINK("https://pbs.twimg.com/profile_images/1002132771991642113/0Y2s1p3O.jpg","View")</f>
        <v>View</v>
      </c>
    </row>
    <row r="77" spans="1:21" ht="30">
      <c r="A77" s="10">
        <v>43346.328587962962</v>
      </c>
      <c r="B77" s="11" t="str">
        <f>HYPERLINK("https://twitter.com/fauxtoegrafik","@fauxtoegrafik")</f>
        <v>@fauxtoegrafik</v>
      </c>
      <c r="C77" s="12" t="s">
        <v>289</v>
      </c>
      <c r="D77" s="13" t="s">
        <v>290</v>
      </c>
      <c r="E77" s="14" t="str">
        <f>HYPERLINK("https://twitter.com/fauxtoegrafik/status/1036628173126029314","1036628173126029314")</f>
        <v>1036628173126029314</v>
      </c>
      <c r="F77" s="15"/>
      <c r="G77" s="15"/>
      <c r="H77" s="15"/>
      <c r="I77" s="17">
        <v>4</v>
      </c>
      <c r="J77" s="17">
        <v>13</v>
      </c>
      <c r="K77" s="18" t="str">
        <f>HYPERLINK("http://twitter.com/download/android","Twitter for Android")</f>
        <v>Twitter for Android</v>
      </c>
      <c r="L77" s="17">
        <v>821</v>
      </c>
      <c r="M77" s="17">
        <v>771</v>
      </c>
      <c r="N77" s="17">
        <v>40</v>
      </c>
      <c r="O77" s="19"/>
      <c r="P77" s="10">
        <v>40129.369710648149</v>
      </c>
      <c r="Q77" s="20" t="s">
        <v>147</v>
      </c>
      <c r="R77" s="21" t="s">
        <v>291</v>
      </c>
      <c r="S77" s="16" t="s">
        <v>292</v>
      </c>
      <c r="T77" s="15"/>
      <c r="U77" s="14" t="str">
        <f>HYPERLINK("https://pbs.twimg.com/profile_images/547359750900682752/1EHtUYmO.jpeg","View")</f>
        <v>View</v>
      </c>
    </row>
    <row r="78" spans="1:21" ht="50">
      <c r="A78" s="10">
        <v>43346.328148148154</v>
      </c>
      <c r="B78" s="11" t="str">
        <f>HYPERLINK("https://twitter.com/Preservica","@Preservica")</f>
        <v>@Preservica</v>
      </c>
      <c r="C78" s="12" t="s">
        <v>293</v>
      </c>
      <c r="D78" s="13" t="s">
        <v>294</v>
      </c>
      <c r="E78" s="14" t="str">
        <f>HYPERLINK("https://twitter.com/Preservica/status/1036628010919714817","1036628010919714817")</f>
        <v>1036628010919714817</v>
      </c>
      <c r="F78" s="15"/>
      <c r="G78" s="16" t="s">
        <v>295</v>
      </c>
      <c r="H78" s="15"/>
      <c r="I78" s="17">
        <v>2</v>
      </c>
      <c r="J78" s="17">
        <v>4</v>
      </c>
      <c r="K78" s="18" t="str">
        <f>HYPERLINK("http://twitter.com","Twitter Web Client")</f>
        <v>Twitter Web Client</v>
      </c>
      <c r="L78" s="17">
        <v>1470</v>
      </c>
      <c r="M78" s="17">
        <v>4014</v>
      </c>
      <c r="N78" s="17">
        <v>69</v>
      </c>
      <c r="O78" s="19"/>
      <c r="P78" s="10">
        <v>40861.08699074074</v>
      </c>
      <c r="Q78" s="20" t="s">
        <v>296</v>
      </c>
      <c r="R78" s="21" t="s">
        <v>297</v>
      </c>
      <c r="S78" s="16" t="s">
        <v>298</v>
      </c>
      <c r="T78" s="15"/>
      <c r="U78" s="14" t="str">
        <f>HYPERLINK("https://pbs.twimg.com/profile_images/889516888786685952/nPCksBMu.jpg","View")</f>
        <v>View</v>
      </c>
    </row>
    <row r="79" spans="1:21" ht="30">
      <c r="A79" s="10">
        <v>43346.328101851846</v>
      </c>
      <c r="B79" s="11" t="str">
        <f>HYPERLINK("https://twitter.com/DeMorganF","@DeMorganF")</f>
        <v>@DeMorganF</v>
      </c>
      <c r="C79" s="12" t="s">
        <v>299</v>
      </c>
      <c r="D79" s="13" t="s">
        <v>300</v>
      </c>
      <c r="E79" s="14" t="str">
        <f>HYPERLINK("https://twitter.com/DeMorganF/status/1036627996264882177","1036627996264882177")</f>
        <v>1036627996264882177</v>
      </c>
      <c r="F79" s="15"/>
      <c r="G79" s="16" t="s">
        <v>301</v>
      </c>
      <c r="H79" s="15"/>
      <c r="I79" s="17">
        <v>0</v>
      </c>
      <c r="J79" s="17">
        <v>3</v>
      </c>
      <c r="K79" s="18" t="str">
        <f t="shared" ref="K79:K80" si="24">HYPERLINK("http://twitter.com/download/iphone","Twitter for iPhone")</f>
        <v>Twitter for iPhone</v>
      </c>
      <c r="L79" s="17">
        <v>1088</v>
      </c>
      <c r="M79" s="17">
        <v>562</v>
      </c>
      <c r="N79" s="17">
        <v>39</v>
      </c>
      <c r="O79" s="19"/>
      <c r="P79" s="10">
        <v>40008.306840277779</v>
      </c>
      <c r="Q79" s="15"/>
      <c r="R79" s="21" t="s">
        <v>302</v>
      </c>
      <c r="S79" s="16" t="s">
        <v>303</v>
      </c>
      <c r="T79" s="15"/>
      <c r="U79" s="14" t="str">
        <f>HYPERLINK("https://pbs.twimg.com/profile_images/469817211985465344/ISTFsbEJ.jpeg","View")</f>
        <v>View</v>
      </c>
    </row>
    <row r="80" spans="1:21" ht="50">
      <c r="A80" s="10">
        <v>43346.326863425929</v>
      </c>
      <c r="B80" s="11" t="str">
        <f>HYPERLINK("https://twitter.com/MariaEcoGl","@MariaEcoGl")</f>
        <v>@MariaEcoGl</v>
      </c>
      <c r="C80" s="12" t="s">
        <v>304</v>
      </c>
      <c r="D80" s="13" t="s">
        <v>305</v>
      </c>
      <c r="E80" s="14" t="str">
        <f>HYPERLINK("https://twitter.com/MariaEcoGl/status/1036627549126897664","1036627549126897664")</f>
        <v>1036627549126897664</v>
      </c>
      <c r="F80" s="15"/>
      <c r="G80" s="16" t="s">
        <v>306</v>
      </c>
      <c r="H80" s="15"/>
      <c r="I80" s="17">
        <v>2</v>
      </c>
      <c r="J80" s="17">
        <v>6</v>
      </c>
      <c r="K80" s="18" t="str">
        <f t="shared" si="24"/>
        <v>Twitter for iPhone</v>
      </c>
      <c r="L80" s="17">
        <v>1479</v>
      </c>
      <c r="M80" s="17">
        <v>2085</v>
      </c>
      <c r="N80" s="17">
        <v>43</v>
      </c>
      <c r="O80" s="19"/>
      <c r="P80" s="10">
        <v>41611.245787037034</v>
      </c>
      <c r="Q80" s="20" t="s">
        <v>307</v>
      </c>
      <c r="R80" s="21" t="s">
        <v>308</v>
      </c>
      <c r="S80" s="16" t="s">
        <v>309</v>
      </c>
      <c r="T80" s="15"/>
      <c r="U80" s="14" t="str">
        <f>HYPERLINK("https://pbs.twimg.com/profile_images/600251605141692416/YeaqAIJB.png","View")</f>
        <v>View</v>
      </c>
    </row>
    <row r="81" spans="1:21" ht="50">
      <c r="A81" s="10">
        <v>43346.325150462959</v>
      </c>
      <c r="B81" s="11" t="str">
        <f>HYPERLINK("https://twitter.com/Tom_Ensom","@Tom_Ensom")</f>
        <v>@Tom_Ensom</v>
      </c>
      <c r="C81" s="12" t="s">
        <v>310</v>
      </c>
      <c r="D81" s="13" t="s">
        <v>311</v>
      </c>
      <c r="E81" s="14" t="str">
        <f>HYPERLINK("https://twitter.com/Tom_Ensom/status/1036626926079827968","1036626926079827968")</f>
        <v>1036626926079827968</v>
      </c>
      <c r="F81" s="15"/>
      <c r="G81" s="16" t="s">
        <v>312</v>
      </c>
      <c r="H81" s="15"/>
      <c r="I81" s="17">
        <v>3</v>
      </c>
      <c r="J81" s="17">
        <v>6</v>
      </c>
      <c r="K81" s="18" t="str">
        <f>HYPERLINK("http://twitter.com/download/android","Twitter for Android")</f>
        <v>Twitter for Android</v>
      </c>
      <c r="L81" s="17">
        <v>175</v>
      </c>
      <c r="M81" s="17">
        <v>197</v>
      </c>
      <c r="N81" s="17">
        <v>9</v>
      </c>
      <c r="O81" s="19"/>
      <c r="P81" s="10">
        <v>41445.161956018521</v>
      </c>
      <c r="Q81" s="20" t="s">
        <v>56</v>
      </c>
      <c r="R81" s="21" t="s">
        <v>313</v>
      </c>
      <c r="S81" s="16" t="s">
        <v>314</v>
      </c>
      <c r="T81" s="15"/>
      <c r="U81" s="14" t="str">
        <f>HYPERLINK("https://pbs.twimg.com/profile_images/998950345316253696/aPBqdqqW.jpg","View")</f>
        <v>View</v>
      </c>
    </row>
    <row r="82" spans="1:21" ht="30">
      <c r="A82" s="10">
        <v>43346.321886574078</v>
      </c>
      <c r="B82" s="11" t="str">
        <f>HYPERLINK("https://twitter.com/NicolePMeehan","@NicolePMeehan")</f>
        <v>@NicolePMeehan</v>
      </c>
      <c r="C82" s="12" t="s">
        <v>105</v>
      </c>
      <c r="D82" s="13" t="s">
        <v>315</v>
      </c>
      <c r="E82" s="14" t="str">
        <f>HYPERLINK("https://twitter.com/NicolePMeehan/status/1036625741591531521","1036625741591531521")</f>
        <v>1036625741591531521</v>
      </c>
      <c r="F82" s="15"/>
      <c r="G82" s="16" t="s">
        <v>316</v>
      </c>
      <c r="H82" s="15"/>
      <c r="I82" s="17">
        <v>3</v>
      </c>
      <c r="J82" s="17">
        <v>11</v>
      </c>
      <c r="K82" s="18" t="str">
        <f t="shared" ref="K82:K83" si="25">HYPERLINK("http://twitter.com/download/iphone","Twitter for iPhone")</f>
        <v>Twitter for iPhone</v>
      </c>
      <c r="L82" s="17">
        <v>221</v>
      </c>
      <c r="M82" s="17">
        <v>167</v>
      </c>
      <c r="N82" s="17">
        <v>8</v>
      </c>
      <c r="O82" s="19"/>
      <c r="P82" s="10">
        <v>40180.658402777779</v>
      </c>
      <c r="Q82" s="20" t="s">
        <v>109</v>
      </c>
      <c r="R82" s="21" t="s">
        <v>110</v>
      </c>
      <c r="S82" s="16" t="s">
        <v>111</v>
      </c>
      <c r="T82" s="15"/>
      <c r="U82" s="14" t="str">
        <f>HYPERLINK("https://pbs.twimg.com/profile_images/933068958151868421/CiyZIYTW.jpg","View")</f>
        <v>View</v>
      </c>
    </row>
    <row r="83" spans="1:21" ht="50">
      <c r="A83" s="10">
        <v>43346.321585648147</v>
      </c>
      <c r="B83" s="11" t="str">
        <f>HYPERLINK("https://twitter.com/MarDixon","@MarDixon")</f>
        <v>@MarDixon</v>
      </c>
      <c r="C83" s="12" t="s">
        <v>317</v>
      </c>
      <c r="D83" s="13" t="s">
        <v>318</v>
      </c>
      <c r="E83" s="14" t="str">
        <f>HYPERLINK("https://twitter.com/MarDixon/status/1036625633995055104","1036625633995055104")</f>
        <v>1036625633995055104</v>
      </c>
      <c r="F83" s="15"/>
      <c r="G83" s="15"/>
      <c r="H83" s="15"/>
      <c r="I83" s="17">
        <v>1</v>
      </c>
      <c r="J83" s="17">
        <v>1</v>
      </c>
      <c r="K83" s="18" t="str">
        <f t="shared" si="25"/>
        <v>Twitter for iPhone</v>
      </c>
      <c r="L83" s="17">
        <v>18090</v>
      </c>
      <c r="M83" s="17">
        <v>8496</v>
      </c>
      <c r="N83" s="17">
        <v>993</v>
      </c>
      <c r="O83" s="23" t="s">
        <v>319</v>
      </c>
      <c r="P83" s="10">
        <v>39841.143726851849</v>
      </c>
      <c r="Q83" s="20" t="s">
        <v>320</v>
      </c>
      <c r="R83" s="21" t="s">
        <v>321</v>
      </c>
      <c r="S83" s="16" t="s">
        <v>322</v>
      </c>
      <c r="T83" s="15"/>
      <c r="U83" s="14" t="str">
        <f>HYPERLINK("https://pbs.twimg.com/profile_images/719436576632213504/zxGLw13d.jpg","View")</f>
        <v>View</v>
      </c>
    </row>
    <row r="84" spans="1:21" ht="40">
      <c r="A84" s="10">
        <v>43346.321180555555</v>
      </c>
      <c r="B84" s="11" t="str">
        <f>HYPERLINK("https://twitter.com/JoePadfield","@JoePadfield")</f>
        <v>@JoePadfield</v>
      </c>
      <c r="C84" s="12" t="s">
        <v>323</v>
      </c>
      <c r="D84" s="13" t="s">
        <v>324</v>
      </c>
      <c r="E84" s="14" t="str">
        <f>HYPERLINK("https://twitter.com/JoePadfield/status/1036625489492959232","1036625489492959232")</f>
        <v>1036625489492959232</v>
      </c>
      <c r="F84" s="15"/>
      <c r="G84" s="15"/>
      <c r="H84" s="15"/>
      <c r="I84" s="17">
        <v>0</v>
      </c>
      <c r="J84" s="17">
        <v>1</v>
      </c>
      <c r="K84" s="18" t="str">
        <f>HYPERLINK("http://twitter.com/download/android","Twitter for Android")</f>
        <v>Twitter for Android</v>
      </c>
      <c r="L84" s="17">
        <v>1094</v>
      </c>
      <c r="M84" s="17">
        <v>543</v>
      </c>
      <c r="N84" s="17">
        <v>64</v>
      </c>
      <c r="O84" s="19"/>
      <c r="P84" s="10">
        <v>39877.535543981481</v>
      </c>
      <c r="Q84" s="20" t="s">
        <v>56</v>
      </c>
      <c r="R84" s="21" t="s">
        <v>325</v>
      </c>
      <c r="S84" s="16" t="s">
        <v>326</v>
      </c>
      <c r="T84" s="15"/>
      <c r="U84" s="14" t="str">
        <f>HYPERLINK("https://pbs.twimg.com/profile_images/1010189169841328128/aFZtk4bf.jpg","View")</f>
        <v>View</v>
      </c>
    </row>
    <row r="85" spans="1:21" ht="50">
      <c r="A85" s="10">
        <v>43346.32104166667</v>
      </c>
      <c r="B85" s="11" t="str">
        <f>HYPERLINK("https://twitter.com/BoroFactory","@BoroFactory")</f>
        <v>@BoroFactory</v>
      </c>
      <c r="C85" s="12" t="s">
        <v>327</v>
      </c>
      <c r="D85" s="13" t="s">
        <v>328</v>
      </c>
      <c r="E85" s="14" t="str">
        <f>HYPERLINK("https://twitter.com/BoroFactory/status/1036625437651288065","1036625437651288065")</f>
        <v>1036625437651288065</v>
      </c>
      <c r="F85" s="16" t="s">
        <v>329</v>
      </c>
      <c r="G85" s="16" t="s">
        <v>330</v>
      </c>
      <c r="H85" s="15"/>
      <c r="I85" s="17">
        <v>2</v>
      </c>
      <c r="J85" s="17">
        <v>4</v>
      </c>
      <c r="K85" s="18" t="str">
        <f t="shared" ref="K85:K86" si="26">HYPERLINK("http://twitter.com","Twitter Web Client")</f>
        <v>Twitter Web Client</v>
      </c>
      <c r="L85" s="17">
        <v>183</v>
      </c>
      <c r="M85" s="17">
        <v>646</v>
      </c>
      <c r="N85" s="17">
        <v>0</v>
      </c>
      <c r="O85" s="19"/>
      <c r="P85" s="10">
        <v>43313.302083333328</v>
      </c>
      <c r="Q85" s="20" t="s">
        <v>75</v>
      </c>
      <c r="R85" s="21" t="s">
        <v>331</v>
      </c>
      <c r="S85" s="15"/>
      <c r="T85" s="15"/>
      <c r="U85" s="14" t="str">
        <f>HYPERLINK("https://pbs.twimg.com/profile_images/1024663492413059072/rZixGTeV.jpg","View")</f>
        <v>View</v>
      </c>
    </row>
    <row r="86" spans="1:21" ht="50">
      <c r="A86" s="10">
        <v>43346.319293981476</v>
      </c>
      <c r="B86" s="11" t="str">
        <f>HYPERLINK("https://twitter.com/Graphic_design8","@Graphic_design8")</f>
        <v>@Graphic_design8</v>
      </c>
      <c r="C86" s="12" t="s">
        <v>332</v>
      </c>
      <c r="D86" s="13" t="s">
        <v>333</v>
      </c>
      <c r="E86" s="14" t="str">
        <f>HYPERLINK("https://twitter.com/Graphic_design8/status/1036624803254288384","1036624803254288384")</f>
        <v>1036624803254288384</v>
      </c>
      <c r="F86" s="15"/>
      <c r="G86" s="16" t="s">
        <v>334</v>
      </c>
      <c r="H86" s="15"/>
      <c r="I86" s="17">
        <v>0</v>
      </c>
      <c r="J86" s="17">
        <v>1</v>
      </c>
      <c r="K86" s="18" t="str">
        <f t="shared" si="26"/>
        <v>Twitter Web Client</v>
      </c>
      <c r="L86" s="17">
        <v>237</v>
      </c>
      <c r="M86" s="17">
        <v>281</v>
      </c>
      <c r="N86" s="17">
        <v>5</v>
      </c>
      <c r="O86" s="19"/>
      <c r="P86" s="10">
        <v>42864.84988425926</v>
      </c>
      <c r="Q86" s="15"/>
      <c r="R86" s="21" t="s">
        <v>335</v>
      </c>
      <c r="S86" s="16" t="s">
        <v>336</v>
      </c>
      <c r="T86" s="15"/>
      <c r="U86" s="14" t="str">
        <f>HYPERLINK("https://pbs.twimg.com/profile_images/902047675951878145/FONdBGwH.jpg","View")</f>
        <v>View</v>
      </c>
    </row>
    <row r="87" spans="1:21" ht="50">
      <c r="A87" s="10">
        <v>43346.318900462968</v>
      </c>
      <c r="B87" s="11" t="str">
        <f>HYPERLINK("https://twitter.com/CaylinSSmith","@CaylinSSmith")</f>
        <v>@CaylinSSmith</v>
      </c>
      <c r="C87" s="12" t="s">
        <v>204</v>
      </c>
      <c r="D87" s="13" t="s">
        <v>337</v>
      </c>
      <c r="E87" s="14" t="str">
        <f>HYPERLINK("https://twitter.com/CaylinSSmith/status/1036624661512114180","1036624661512114180")</f>
        <v>1036624661512114180</v>
      </c>
      <c r="F87" s="15"/>
      <c r="G87" s="15"/>
      <c r="H87" s="15"/>
      <c r="I87" s="17">
        <v>16</v>
      </c>
      <c r="J87" s="17">
        <v>15</v>
      </c>
      <c r="K87" s="18" t="str">
        <f>HYPERLINK("http://twitter.com/download/android","Twitter for Android")</f>
        <v>Twitter for Android</v>
      </c>
      <c r="L87" s="17">
        <v>1013</v>
      </c>
      <c r="M87" s="17">
        <v>2629</v>
      </c>
      <c r="N87" s="17">
        <v>68</v>
      </c>
      <c r="O87" s="19"/>
      <c r="P87" s="10">
        <v>40376.763761574075</v>
      </c>
      <c r="Q87" s="20" t="s">
        <v>206</v>
      </c>
      <c r="R87" s="21" t="s">
        <v>207</v>
      </c>
      <c r="S87" s="16" t="s">
        <v>208</v>
      </c>
      <c r="T87" s="15"/>
      <c r="U87" s="14" t="str">
        <f>HYPERLINK("https://pbs.twimg.com/profile_images/1027591872028524545/k9Xatqj3.jpg","View")</f>
        <v>View</v>
      </c>
    </row>
    <row r="88" spans="1:21" ht="40">
      <c r="A88" s="10">
        <v>43346.317152777774</v>
      </c>
      <c r="B88" s="11" t="str">
        <f>HYPERLINK("https://twitter.com/MariaEcoGl","@MariaEcoGl")</f>
        <v>@MariaEcoGl</v>
      </c>
      <c r="C88" s="12" t="s">
        <v>304</v>
      </c>
      <c r="D88" s="13" t="s">
        <v>338</v>
      </c>
      <c r="E88" s="14" t="str">
        <f>HYPERLINK("https://twitter.com/MariaEcoGl/status/1036624029237555200","1036624029237555200")</f>
        <v>1036624029237555200</v>
      </c>
      <c r="F88" s="15"/>
      <c r="G88" s="15"/>
      <c r="H88" s="15"/>
      <c r="I88" s="17">
        <v>7</v>
      </c>
      <c r="J88" s="17">
        <v>16</v>
      </c>
      <c r="K88" s="18" t="str">
        <f>HYPERLINK("http://twitter.com/download/iphone","Twitter for iPhone")</f>
        <v>Twitter for iPhone</v>
      </c>
      <c r="L88" s="17">
        <v>1479</v>
      </c>
      <c r="M88" s="17">
        <v>2085</v>
      </c>
      <c r="N88" s="17">
        <v>43</v>
      </c>
      <c r="O88" s="19"/>
      <c r="P88" s="10">
        <v>41611.245787037034</v>
      </c>
      <c r="Q88" s="20" t="s">
        <v>307</v>
      </c>
      <c r="R88" s="21" t="s">
        <v>308</v>
      </c>
      <c r="S88" s="16" t="s">
        <v>309</v>
      </c>
      <c r="T88" s="15"/>
      <c r="U88" s="14" t="str">
        <f>HYPERLINK("https://pbs.twimg.com/profile_images/600251605141692416/YeaqAIJB.png","View")</f>
        <v>View</v>
      </c>
    </row>
    <row r="89" spans="1:21" ht="40">
      <c r="A89" s="10">
        <v>43346.317060185189</v>
      </c>
      <c r="B89" s="11" t="str">
        <f>HYPERLINK("https://twitter.com/dri_ireland","@dri_ireland")</f>
        <v>@dri_ireland</v>
      </c>
      <c r="C89" s="12" t="s">
        <v>197</v>
      </c>
      <c r="D89" s="13" t="s">
        <v>339</v>
      </c>
      <c r="E89" s="14" t="str">
        <f>HYPERLINK("https://twitter.com/dri_ireland/status/1036623995859296256","1036623995859296256")</f>
        <v>1036623995859296256</v>
      </c>
      <c r="F89" s="15"/>
      <c r="G89" s="16" t="s">
        <v>340</v>
      </c>
      <c r="H89" s="15"/>
      <c r="I89" s="17">
        <v>1</v>
      </c>
      <c r="J89" s="17">
        <v>5</v>
      </c>
      <c r="K89" s="18" t="str">
        <f t="shared" ref="K89:K90" si="27">HYPERLINK("http://twitter.com/download/android","Twitter for Android")</f>
        <v>Twitter for Android</v>
      </c>
      <c r="L89" s="17">
        <v>6134</v>
      </c>
      <c r="M89" s="17">
        <v>1732</v>
      </c>
      <c r="N89" s="17">
        <v>249</v>
      </c>
      <c r="O89" s="19"/>
      <c r="P89" s="10">
        <v>41172.215312500004</v>
      </c>
      <c r="Q89" s="20" t="s">
        <v>200</v>
      </c>
      <c r="R89" s="21" t="s">
        <v>201</v>
      </c>
      <c r="S89" s="16" t="s">
        <v>202</v>
      </c>
      <c r="T89" s="15"/>
      <c r="U89" s="14" t="str">
        <f>HYPERLINK("https://pbs.twimg.com/profile_images/603126975268581376/cGZW7aU3.jpg","View")</f>
        <v>View</v>
      </c>
    </row>
    <row r="90" spans="1:21" ht="20">
      <c r="A90" s="10">
        <v>43346.316793981481</v>
      </c>
      <c r="B90" s="11" t="str">
        <f>HYPERLINK("https://twitter.com/Sarah_DPC","@Sarah_DPC")</f>
        <v>@Sarah_DPC</v>
      </c>
      <c r="C90" s="12" t="s">
        <v>178</v>
      </c>
      <c r="D90" s="13" t="s">
        <v>341</v>
      </c>
      <c r="E90" s="14" t="str">
        <f>HYPERLINK("https://twitter.com/Sarah_DPC/status/1036623897855225856","1036623897855225856")</f>
        <v>1036623897855225856</v>
      </c>
      <c r="F90" s="15"/>
      <c r="G90" s="15"/>
      <c r="H90" s="15"/>
      <c r="I90" s="17">
        <v>1</v>
      </c>
      <c r="J90" s="17">
        <v>2</v>
      </c>
      <c r="K90" s="18" t="str">
        <f t="shared" si="27"/>
        <v>Twitter for Android</v>
      </c>
      <c r="L90" s="17">
        <v>1270</v>
      </c>
      <c r="M90" s="17">
        <v>715</v>
      </c>
      <c r="N90" s="17">
        <v>51</v>
      </c>
      <c r="O90" s="19"/>
      <c r="P90" s="10">
        <v>41373.188576388886</v>
      </c>
      <c r="Q90" s="20" t="s">
        <v>180</v>
      </c>
      <c r="R90" s="21" t="s">
        <v>181</v>
      </c>
      <c r="S90" s="16" t="s">
        <v>182</v>
      </c>
      <c r="T90" s="15"/>
      <c r="U90" s="14" t="str">
        <f>HYPERLINK("https://pbs.twimg.com/profile_images/867263862726434816/K2qoO6sD.jpg","View")</f>
        <v>View</v>
      </c>
    </row>
    <row r="91" spans="1:21" ht="30">
      <c r="A91" s="10">
        <v>43346.316724537042</v>
      </c>
      <c r="B91" s="11" t="str">
        <f>HYPERLINK("https://twitter.com/sgwhibley","@sgwhibley")</f>
        <v>@sgwhibley</v>
      </c>
      <c r="C91" s="12" t="s">
        <v>342</v>
      </c>
      <c r="D91" s="13" t="s">
        <v>343</v>
      </c>
      <c r="E91" s="14" t="str">
        <f>HYPERLINK("https://twitter.com/sgwhibley/status/1036623873289191425","1036623873289191425")</f>
        <v>1036623873289191425</v>
      </c>
      <c r="F91" s="15"/>
      <c r="G91" s="16" t="s">
        <v>344</v>
      </c>
      <c r="H91" s="15"/>
      <c r="I91" s="17">
        <v>2</v>
      </c>
      <c r="J91" s="17">
        <v>4</v>
      </c>
      <c r="K91" s="18" t="str">
        <f>HYPERLINK("http://twitter.com/download/iphone","Twitter for iPhone")</f>
        <v>Twitter for iPhone</v>
      </c>
      <c r="L91" s="17">
        <v>572</v>
      </c>
      <c r="M91" s="17">
        <v>1279</v>
      </c>
      <c r="N91" s="17">
        <v>21</v>
      </c>
      <c r="O91" s="19"/>
      <c r="P91" s="10">
        <v>39853.471828703703</v>
      </c>
      <c r="Q91" s="20" t="s">
        <v>345</v>
      </c>
      <c r="R91" s="21" t="s">
        <v>346</v>
      </c>
      <c r="S91" s="15"/>
      <c r="T91" s="15"/>
      <c r="U91" s="14" t="str">
        <f>HYPERLINK("https://pbs.twimg.com/profile_images/992805147213549570/RZxxNOLa.jpg","View")</f>
        <v>View</v>
      </c>
    </row>
    <row r="92" spans="1:21" ht="30">
      <c r="A92" s="10">
        <v>43346.31658564815</v>
      </c>
      <c r="B92" s="11" t="str">
        <f>HYPERLINK("https://twitter.com/fauxtoegrafik","@fauxtoegrafik")</f>
        <v>@fauxtoegrafik</v>
      </c>
      <c r="C92" s="12" t="s">
        <v>289</v>
      </c>
      <c r="D92" s="13" t="s">
        <v>347</v>
      </c>
      <c r="E92" s="14" t="str">
        <f>HYPERLINK("https://twitter.com/fauxtoegrafik/status/1036623823414669312","1036623823414669312")</f>
        <v>1036623823414669312</v>
      </c>
      <c r="F92" s="15"/>
      <c r="G92" s="15"/>
      <c r="H92" s="15"/>
      <c r="I92" s="17">
        <v>3</v>
      </c>
      <c r="J92" s="17">
        <v>2</v>
      </c>
      <c r="K92" s="18" t="str">
        <f>HYPERLINK("http://twitter.com/download/android","Twitter for Android")</f>
        <v>Twitter for Android</v>
      </c>
      <c r="L92" s="17">
        <v>821</v>
      </c>
      <c r="M92" s="17">
        <v>771</v>
      </c>
      <c r="N92" s="17">
        <v>40</v>
      </c>
      <c r="O92" s="19"/>
      <c r="P92" s="10">
        <v>40129.369710648149</v>
      </c>
      <c r="Q92" s="20" t="s">
        <v>147</v>
      </c>
      <c r="R92" s="21" t="s">
        <v>291</v>
      </c>
      <c r="S92" s="16" t="s">
        <v>292</v>
      </c>
      <c r="T92" s="15"/>
      <c r="U92" s="14" t="str">
        <f>HYPERLINK("https://pbs.twimg.com/profile_images/547359750900682752/1EHtUYmO.jpeg","View")</f>
        <v>View</v>
      </c>
    </row>
    <row r="93" spans="1:21" ht="30">
      <c r="A93" s="10">
        <v>43346.315729166672</v>
      </c>
      <c r="B93" s="11" t="str">
        <f>HYPERLINK("https://twitter.com/sgwhibley","@sgwhibley")</f>
        <v>@sgwhibley</v>
      </c>
      <c r="C93" s="12" t="s">
        <v>342</v>
      </c>
      <c r="D93" s="13" t="s">
        <v>348</v>
      </c>
      <c r="E93" s="14" t="str">
        <f>HYPERLINK("https://twitter.com/sgwhibley/status/1036623512503508998","1036623512503508998")</f>
        <v>1036623512503508998</v>
      </c>
      <c r="F93" s="15"/>
      <c r="G93" s="16" t="s">
        <v>349</v>
      </c>
      <c r="H93" s="15"/>
      <c r="I93" s="17">
        <v>1</v>
      </c>
      <c r="J93" s="17">
        <v>6</v>
      </c>
      <c r="K93" s="18" t="str">
        <f t="shared" ref="K93:K96" si="28">HYPERLINK("http://twitter.com/download/iphone","Twitter for iPhone")</f>
        <v>Twitter for iPhone</v>
      </c>
      <c r="L93" s="17">
        <v>572</v>
      </c>
      <c r="M93" s="17">
        <v>1279</v>
      </c>
      <c r="N93" s="17">
        <v>21</v>
      </c>
      <c r="O93" s="19"/>
      <c r="P93" s="10">
        <v>39853.471828703703</v>
      </c>
      <c r="Q93" s="20" t="s">
        <v>345</v>
      </c>
      <c r="R93" s="21" t="s">
        <v>346</v>
      </c>
      <c r="S93" s="15"/>
      <c r="T93" s="15"/>
      <c r="U93" s="14" t="str">
        <f>HYPERLINK("https://pbs.twimg.com/profile_images/992805147213549570/RZxxNOLa.jpg","View")</f>
        <v>View</v>
      </c>
    </row>
    <row r="94" spans="1:21" ht="50">
      <c r="A94" s="10">
        <v>43346.315451388888</v>
      </c>
      <c r="B94" s="11" t="str">
        <f>HYPERLINK("https://twitter.com/HLFLondon","@HLFLondon")</f>
        <v>@HLFLondon</v>
      </c>
      <c r="C94" s="12" t="s">
        <v>54</v>
      </c>
      <c r="D94" s="13" t="s">
        <v>350</v>
      </c>
      <c r="E94" s="14" t="str">
        <f>HYPERLINK("https://twitter.com/HLFLondon/status/1036623412238712833","1036623412238712833")</f>
        <v>1036623412238712833</v>
      </c>
      <c r="F94" s="15"/>
      <c r="G94" s="15"/>
      <c r="H94" s="15"/>
      <c r="I94" s="17">
        <v>5</v>
      </c>
      <c r="J94" s="17">
        <v>7</v>
      </c>
      <c r="K94" s="18" t="str">
        <f t="shared" si="28"/>
        <v>Twitter for iPhone</v>
      </c>
      <c r="L94" s="17">
        <v>3962</v>
      </c>
      <c r="M94" s="17">
        <v>1516</v>
      </c>
      <c r="N94" s="17">
        <v>74</v>
      </c>
      <c r="O94" s="19"/>
      <c r="P94" s="10">
        <v>41442.105706018519</v>
      </c>
      <c r="Q94" s="20" t="s">
        <v>56</v>
      </c>
      <c r="R94" s="21" t="s">
        <v>57</v>
      </c>
      <c r="S94" s="16" t="s">
        <v>58</v>
      </c>
      <c r="T94" s="15"/>
      <c r="U94" s="14" t="str">
        <f>HYPERLINK("https://pbs.twimg.com/profile_images/694839380582764544/6N71IZbb.jpg","View")</f>
        <v>View</v>
      </c>
    </row>
    <row r="95" spans="1:21" ht="20">
      <c r="A95" s="10">
        <v>43346.315324074079</v>
      </c>
      <c r="B95" s="11" t="str">
        <f>HYPERLINK("https://twitter.com/hardysarah2000","@hardysarah2000")</f>
        <v>@hardysarah2000</v>
      </c>
      <c r="C95" s="12" t="s">
        <v>280</v>
      </c>
      <c r="D95" s="13" t="s">
        <v>351</v>
      </c>
      <c r="E95" s="14" t="str">
        <f>HYPERLINK("https://twitter.com/hardysarah2000/status/1036623365312847872","1036623365312847872")</f>
        <v>1036623365312847872</v>
      </c>
      <c r="F95" s="15"/>
      <c r="G95" s="15"/>
      <c r="H95" s="15"/>
      <c r="I95" s="17">
        <v>3</v>
      </c>
      <c r="J95" s="17">
        <v>4</v>
      </c>
      <c r="K95" s="18" t="str">
        <f t="shared" si="28"/>
        <v>Twitter for iPhone</v>
      </c>
      <c r="L95" s="17">
        <v>243</v>
      </c>
      <c r="M95" s="17">
        <v>607</v>
      </c>
      <c r="N95" s="17">
        <v>3</v>
      </c>
      <c r="O95" s="19"/>
      <c r="P95" s="10">
        <v>40069.455868055556</v>
      </c>
      <c r="Q95" s="20" t="s">
        <v>283</v>
      </c>
      <c r="R95" s="21" t="s">
        <v>284</v>
      </c>
      <c r="S95" s="15"/>
      <c r="T95" s="15"/>
      <c r="U95" s="14" t="str">
        <f>HYPERLINK("https://pbs.twimg.com/profile_images/455116201036111872/5v9TlSa4.jpeg","View")</f>
        <v>View</v>
      </c>
    </row>
    <row r="96" spans="1:21" ht="30">
      <c r="A96" s="10">
        <v>43346.315324074079</v>
      </c>
      <c r="B96" s="11" t="str">
        <f>HYPERLINK("https://twitter.com/kathleenlawther","@kathleenlawther")</f>
        <v>@kathleenlawther</v>
      </c>
      <c r="C96" s="12" t="s">
        <v>352</v>
      </c>
      <c r="D96" s="13" t="s">
        <v>353</v>
      </c>
      <c r="E96" s="14" t="str">
        <f>HYPERLINK("https://twitter.com/kathleenlawther/status/1036623363500855296","1036623363500855296")</f>
        <v>1036623363500855296</v>
      </c>
      <c r="F96" s="15"/>
      <c r="G96" s="15"/>
      <c r="H96" s="15"/>
      <c r="I96" s="17">
        <v>4</v>
      </c>
      <c r="J96" s="17">
        <v>13</v>
      </c>
      <c r="K96" s="18" t="str">
        <f t="shared" si="28"/>
        <v>Twitter for iPhone</v>
      </c>
      <c r="L96" s="17">
        <v>1007</v>
      </c>
      <c r="M96" s="17">
        <v>1129</v>
      </c>
      <c r="N96" s="17">
        <v>18</v>
      </c>
      <c r="O96" s="19"/>
      <c r="P96" s="10">
        <v>40205.578101851854</v>
      </c>
      <c r="Q96" s="20" t="s">
        <v>354</v>
      </c>
      <c r="R96" s="21" t="s">
        <v>355</v>
      </c>
      <c r="S96" s="16" t="s">
        <v>356</v>
      </c>
      <c r="T96" s="15"/>
      <c r="U96" s="14" t="str">
        <f>HYPERLINK("https://pbs.twimg.com/profile_images/783064344879824896/1TQQxEjx.jpg","View")</f>
        <v>View</v>
      </c>
    </row>
    <row r="97" spans="1:21" ht="30">
      <c r="A97" s="10">
        <v>43346.315185185187</v>
      </c>
      <c r="B97" s="11" t="str">
        <f>HYPERLINK("https://twitter.com/Sarah_DPC","@Sarah_DPC")</f>
        <v>@Sarah_DPC</v>
      </c>
      <c r="C97" s="12" t="s">
        <v>178</v>
      </c>
      <c r="D97" s="13" t="s">
        <v>357</v>
      </c>
      <c r="E97" s="14" t="str">
        <f>HYPERLINK("https://twitter.com/Sarah_DPC/status/1036623315132133379","1036623315132133379")</f>
        <v>1036623315132133379</v>
      </c>
      <c r="F97" s="15"/>
      <c r="G97" s="15"/>
      <c r="H97" s="15"/>
      <c r="I97" s="17">
        <v>2</v>
      </c>
      <c r="J97" s="17">
        <v>1</v>
      </c>
      <c r="K97" s="18" t="str">
        <f>HYPERLINK("http://twitter.com/download/android","Twitter for Android")</f>
        <v>Twitter for Android</v>
      </c>
      <c r="L97" s="17">
        <v>1270</v>
      </c>
      <c r="M97" s="17">
        <v>715</v>
      </c>
      <c r="N97" s="17">
        <v>51</v>
      </c>
      <c r="O97" s="19"/>
      <c r="P97" s="10">
        <v>41373.188576388886</v>
      </c>
      <c r="Q97" s="20" t="s">
        <v>180</v>
      </c>
      <c r="R97" s="21" t="s">
        <v>181</v>
      </c>
      <c r="S97" s="16" t="s">
        <v>182</v>
      </c>
      <c r="T97" s="15"/>
      <c r="U97" s="14" t="str">
        <f>HYPERLINK("https://pbs.twimg.com/profile_images/867263862726434816/K2qoO6sD.jpg","View")</f>
        <v>View</v>
      </c>
    </row>
    <row r="98" spans="1:21" ht="40">
      <c r="A98" s="10">
        <v>43346.314328703702</v>
      </c>
      <c r="B98" s="11" t="str">
        <f>HYPERLINK("https://twitter.com/jdk653","@jdk653")</f>
        <v>@jdk653</v>
      </c>
      <c r="C98" s="12" t="s">
        <v>358</v>
      </c>
      <c r="D98" s="13" t="s">
        <v>359</v>
      </c>
      <c r="E98" s="14" t="str">
        <f>HYPERLINK("https://twitter.com/jdk653/status/1036623005043048448","1036623005043048448")</f>
        <v>1036623005043048448</v>
      </c>
      <c r="F98" s="15"/>
      <c r="G98" s="15"/>
      <c r="H98" s="15"/>
      <c r="I98" s="17">
        <v>8</v>
      </c>
      <c r="J98" s="17">
        <v>15</v>
      </c>
      <c r="K98" s="18" t="str">
        <f>HYPERLINK("http://twitter.com","Twitter Web Client")</f>
        <v>Twitter Web Client</v>
      </c>
      <c r="L98" s="17">
        <v>1408</v>
      </c>
      <c r="M98" s="17">
        <v>555</v>
      </c>
      <c r="N98" s="17">
        <v>51</v>
      </c>
      <c r="O98" s="19"/>
      <c r="P98" s="10">
        <v>40039.645243055558</v>
      </c>
      <c r="Q98" s="20" t="s">
        <v>360</v>
      </c>
      <c r="R98" s="21" t="s">
        <v>361</v>
      </c>
      <c r="S98" s="15"/>
      <c r="T98" s="15"/>
      <c r="U98" s="14" t="str">
        <f>HYPERLINK("https://pbs.twimg.com/profile_images/459055826607415296/7xy78FeW.jpeg","View")</f>
        <v>View</v>
      </c>
    </row>
    <row r="99" spans="1:21" ht="30">
      <c r="A99" s="10">
        <v>43346.311597222222</v>
      </c>
      <c r="B99" s="11" t="str">
        <f>HYPERLINK("https://twitter.com/kathleenlawther","@kathleenlawther")</f>
        <v>@kathleenlawther</v>
      </c>
      <c r="C99" s="12" t="s">
        <v>352</v>
      </c>
      <c r="D99" s="13" t="s">
        <v>362</v>
      </c>
      <c r="E99" s="14" t="str">
        <f>HYPERLINK("https://twitter.com/kathleenlawther/status/1036622013480271873","1036622013480271873")</f>
        <v>1036622013480271873</v>
      </c>
      <c r="F99" s="15"/>
      <c r="G99" s="15"/>
      <c r="H99" s="15"/>
      <c r="I99" s="17">
        <v>1</v>
      </c>
      <c r="J99" s="17">
        <v>12</v>
      </c>
      <c r="K99" s="18" t="str">
        <f t="shared" ref="K99:K100" si="29">HYPERLINK("http://twitter.com/download/iphone","Twitter for iPhone")</f>
        <v>Twitter for iPhone</v>
      </c>
      <c r="L99" s="17">
        <v>1007</v>
      </c>
      <c r="M99" s="17">
        <v>1129</v>
      </c>
      <c r="N99" s="17">
        <v>18</v>
      </c>
      <c r="O99" s="19"/>
      <c r="P99" s="10">
        <v>40205.578101851854</v>
      </c>
      <c r="Q99" s="20" t="s">
        <v>354</v>
      </c>
      <c r="R99" s="21" t="s">
        <v>355</v>
      </c>
      <c r="S99" s="16" t="s">
        <v>356</v>
      </c>
      <c r="T99" s="15"/>
      <c r="U99" s="14" t="str">
        <f>HYPERLINK("https://pbs.twimg.com/profile_images/783064344879824896/1TQQxEjx.jpg","View")</f>
        <v>View</v>
      </c>
    </row>
    <row r="100" spans="1:21" ht="40">
      <c r="A100" s="10">
        <v>43346.311157407406</v>
      </c>
      <c r="B100" s="11" t="str">
        <f>HYPERLINK("https://twitter.com/MariaEcoGl","@MariaEcoGl")</f>
        <v>@MariaEcoGl</v>
      </c>
      <c r="C100" s="12" t="s">
        <v>304</v>
      </c>
      <c r="D100" s="13" t="s">
        <v>363</v>
      </c>
      <c r="E100" s="14" t="str">
        <f>HYPERLINK("https://twitter.com/MariaEcoGl/status/1036621854562238471","1036621854562238471")</f>
        <v>1036621854562238471</v>
      </c>
      <c r="F100" s="15"/>
      <c r="G100" s="15"/>
      <c r="H100" s="15"/>
      <c r="I100" s="17">
        <v>2</v>
      </c>
      <c r="J100" s="17">
        <v>4</v>
      </c>
      <c r="K100" s="18" t="str">
        <f t="shared" si="29"/>
        <v>Twitter for iPhone</v>
      </c>
      <c r="L100" s="17">
        <v>1479</v>
      </c>
      <c r="M100" s="17">
        <v>2085</v>
      </c>
      <c r="N100" s="17">
        <v>43</v>
      </c>
      <c r="O100" s="19"/>
      <c r="P100" s="10">
        <v>41611.245787037034</v>
      </c>
      <c r="Q100" s="20" t="s">
        <v>307</v>
      </c>
      <c r="R100" s="21" t="s">
        <v>308</v>
      </c>
      <c r="S100" s="16" t="s">
        <v>309</v>
      </c>
      <c r="T100" s="15"/>
      <c r="U100" s="14" t="str">
        <f>HYPERLINK("https://pbs.twimg.com/profile_images/600251605141692416/YeaqAIJB.png","View")</f>
        <v>View</v>
      </c>
    </row>
    <row r="101" spans="1:21" ht="30">
      <c r="A101" s="10">
        <v>43346.31113425926</v>
      </c>
      <c r="B101" s="11" t="str">
        <f>HYPERLINK("https://twitter.com/Sarah_DPC","@Sarah_DPC")</f>
        <v>@Sarah_DPC</v>
      </c>
      <c r="C101" s="12" t="s">
        <v>178</v>
      </c>
      <c r="D101" s="13" t="s">
        <v>364</v>
      </c>
      <c r="E101" s="14" t="str">
        <f>HYPERLINK("https://twitter.com/Sarah_DPC/status/1036621846387544064","1036621846387544064")</f>
        <v>1036621846387544064</v>
      </c>
      <c r="F101" s="15"/>
      <c r="G101" s="15"/>
      <c r="H101" s="15"/>
      <c r="I101" s="17">
        <v>3</v>
      </c>
      <c r="J101" s="17">
        <v>3</v>
      </c>
      <c r="K101" s="18" t="str">
        <f>HYPERLINK("http://twitter.com/download/android","Twitter for Android")</f>
        <v>Twitter for Android</v>
      </c>
      <c r="L101" s="17">
        <v>1270</v>
      </c>
      <c r="M101" s="17">
        <v>715</v>
      </c>
      <c r="N101" s="17">
        <v>51</v>
      </c>
      <c r="O101" s="19"/>
      <c r="P101" s="10">
        <v>41373.188576388886</v>
      </c>
      <c r="Q101" s="20" t="s">
        <v>180</v>
      </c>
      <c r="R101" s="21" t="s">
        <v>181</v>
      </c>
      <c r="S101" s="16" t="s">
        <v>182</v>
      </c>
      <c r="T101" s="15"/>
      <c r="U101" s="14" t="str">
        <f>HYPERLINK("https://pbs.twimg.com/profile_images/867263862726434816/K2qoO6sD.jpg","View")</f>
        <v>View</v>
      </c>
    </row>
    <row r="102" spans="1:21" ht="40">
      <c r="A102" s="10">
        <v>43346.310763888891</v>
      </c>
      <c r="B102" s="11" t="str">
        <f>HYPERLINK("https://twitter.com/CoSector_UoL","@CoSector_UoL")</f>
        <v>@CoSector_UoL</v>
      </c>
      <c r="C102" s="12" t="s">
        <v>365</v>
      </c>
      <c r="D102" s="13" t="s">
        <v>366</v>
      </c>
      <c r="E102" s="14" t="str">
        <f>HYPERLINK("https://twitter.com/CoSector_UoL/status/1036621713251987457","1036621713251987457")</f>
        <v>1036621713251987457</v>
      </c>
      <c r="F102" s="15"/>
      <c r="G102" s="16" t="s">
        <v>367</v>
      </c>
      <c r="H102" s="15"/>
      <c r="I102" s="17">
        <v>0</v>
      </c>
      <c r="J102" s="17">
        <v>3</v>
      </c>
      <c r="K102" s="18" t="str">
        <f t="shared" ref="K102:K103" si="30">HYPERLINK("http://twitter.com/download/iphone","Twitter for iPhone")</f>
        <v>Twitter for iPhone</v>
      </c>
      <c r="L102" s="17">
        <v>276</v>
      </c>
      <c r="M102" s="17">
        <v>181</v>
      </c>
      <c r="N102" s="17">
        <v>72</v>
      </c>
      <c r="O102" s="19"/>
      <c r="P102" s="10">
        <v>42646.315104166672</v>
      </c>
      <c r="Q102" s="20" t="s">
        <v>41</v>
      </c>
      <c r="R102" s="21" t="s">
        <v>368</v>
      </c>
      <c r="S102" s="16" t="s">
        <v>369</v>
      </c>
      <c r="T102" s="15"/>
      <c r="U102" s="14" t="str">
        <f>HYPERLINK("https://pbs.twimg.com/profile_images/843757398221361154/z6PbdLFZ.jpg","View")</f>
        <v>View</v>
      </c>
    </row>
    <row r="103" spans="1:21" ht="50">
      <c r="A103" s="10">
        <v>43346.310659722221</v>
      </c>
      <c r="B103" s="11" t="str">
        <f>HYPERLINK("https://twitter.com/MarDixon","@MarDixon")</f>
        <v>@MarDixon</v>
      </c>
      <c r="C103" s="12" t="s">
        <v>317</v>
      </c>
      <c r="D103" s="13" t="s">
        <v>370</v>
      </c>
      <c r="E103" s="14" t="str">
        <f>HYPERLINK("https://twitter.com/MarDixon/status/1036621676228890625","1036621676228890625")</f>
        <v>1036621676228890625</v>
      </c>
      <c r="F103" s="15"/>
      <c r="G103" s="16" t="s">
        <v>371</v>
      </c>
      <c r="H103" s="15"/>
      <c r="I103" s="17">
        <v>2</v>
      </c>
      <c r="J103" s="17">
        <v>6</v>
      </c>
      <c r="K103" s="18" t="str">
        <f t="shared" si="30"/>
        <v>Twitter for iPhone</v>
      </c>
      <c r="L103" s="17">
        <v>18090</v>
      </c>
      <c r="M103" s="17">
        <v>8496</v>
      </c>
      <c r="N103" s="17">
        <v>993</v>
      </c>
      <c r="O103" s="23" t="s">
        <v>319</v>
      </c>
      <c r="P103" s="10">
        <v>39841.143726851849</v>
      </c>
      <c r="Q103" s="20" t="s">
        <v>320</v>
      </c>
      <c r="R103" s="21" t="s">
        <v>321</v>
      </c>
      <c r="S103" s="16" t="s">
        <v>322</v>
      </c>
      <c r="T103" s="15"/>
      <c r="U103" s="14" t="str">
        <f>HYPERLINK("https://pbs.twimg.com/profile_images/719436576632213504/zxGLw13d.jpg","View")</f>
        <v>View</v>
      </c>
    </row>
    <row r="104" spans="1:21" ht="30">
      <c r="A104" s="10">
        <v>43346.31045138889</v>
      </c>
      <c r="B104" s="11" t="str">
        <f>HYPERLINK("https://twitter.com/mcojo","@mcojo")</f>
        <v>@mcojo</v>
      </c>
      <c r="C104" s="12" t="s">
        <v>372</v>
      </c>
      <c r="D104" s="13" t="s">
        <v>373</v>
      </c>
      <c r="E104" s="14" t="str">
        <f>HYPERLINK("https://twitter.com/mcojo/status/1036621598869086208","1036621598869086208")</f>
        <v>1036621598869086208</v>
      </c>
      <c r="F104" s="15"/>
      <c r="G104" s="16" t="s">
        <v>374</v>
      </c>
      <c r="H104" s="15"/>
      <c r="I104" s="17">
        <v>1</v>
      </c>
      <c r="J104" s="17">
        <v>1</v>
      </c>
      <c r="K104" s="18" t="str">
        <f>HYPERLINK("http://twitter.com/#!/download/ipad","Twitter for iPad")</f>
        <v>Twitter for iPad</v>
      </c>
      <c r="L104" s="17">
        <v>963</v>
      </c>
      <c r="M104" s="17">
        <v>734</v>
      </c>
      <c r="N104" s="17">
        <v>73</v>
      </c>
      <c r="O104" s="19"/>
      <c r="P104" s="10">
        <v>40000.326574074075</v>
      </c>
      <c r="Q104" s="20" t="s">
        <v>375</v>
      </c>
      <c r="R104" s="21" t="s">
        <v>376</v>
      </c>
      <c r="S104" s="16" t="s">
        <v>377</v>
      </c>
      <c r="T104" s="15"/>
      <c r="U104" s="14" t="str">
        <f>HYPERLINK("https://pbs.twimg.com/profile_images/809493218421338113/-NdNTXIY.jpg","View")</f>
        <v>View</v>
      </c>
    </row>
    <row r="105" spans="1:21" ht="30">
      <c r="A105" s="10">
        <v>43346.310104166667</v>
      </c>
      <c r="B105" s="11" t="str">
        <f>HYPERLINK("https://twitter.com/ellie__miles","@ellie__miles")</f>
        <v>@ellie__miles</v>
      </c>
      <c r="C105" s="12" t="s">
        <v>227</v>
      </c>
      <c r="D105" s="13" t="s">
        <v>378</v>
      </c>
      <c r="E105" s="14" t="str">
        <f>HYPERLINK("https://twitter.com/ellie__miles/status/1036621475426578432","1036621475426578432")</f>
        <v>1036621475426578432</v>
      </c>
      <c r="F105" s="16" t="s">
        <v>379</v>
      </c>
      <c r="G105" s="15"/>
      <c r="H105" s="15"/>
      <c r="I105" s="17">
        <v>3</v>
      </c>
      <c r="J105" s="17">
        <v>2</v>
      </c>
      <c r="K105" s="18" t="str">
        <f>HYPERLINK("https://mobile.twitter.com","Twitter Lite")</f>
        <v>Twitter Lite</v>
      </c>
      <c r="L105" s="17">
        <v>1051</v>
      </c>
      <c r="M105" s="17">
        <v>645</v>
      </c>
      <c r="N105" s="17">
        <v>29</v>
      </c>
      <c r="O105" s="19"/>
      <c r="P105" s="10">
        <v>41065.331909722227</v>
      </c>
      <c r="Q105" s="20" t="s">
        <v>56</v>
      </c>
      <c r="R105" s="21" t="s">
        <v>229</v>
      </c>
      <c r="S105" s="16" t="s">
        <v>230</v>
      </c>
      <c r="T105" s="15"/>
      <c r="U105" s="14" t="str">
        <f>HYPERLINK("https://pbs.twimg.com/profile_images/1017465512325009408/sUSUo4fg.jpg","View")</f>
        <v>View</v>
      </c>
    </row>
    <row r="106" spans="1:21" ht="50">
      <c r="A106" s="10">
        <v>43346.308946759258</v>
      </c>
      <c r="B106" s="11" t="str">
        <f t="shared" ref="B106:B107" si="31">HYPERLINK("https://twitter.com/MarDixon","@MarDixon")</f>
        <v>@MarDixon</v>
      </c>
      <c r="C106" s="12" t="s">
        <v>317</v>
      </c>
      <c r="D106" s="13" t="s">
        <v>380</v>
      </c>
      <c r="E106" s="14" t="str">
        <f>HYPERLINK("https://twitter.com/MarDixon/status/1036621054280708097","1036621054280708097")</f>
        <v>1036621054280708097</v>
      </c>
      <c r="F106" s="15"/>
      <c r="G106" s="16" t="s">
        <v>381</v>
      </c>
      <c r="H106" s="15"/>
      <c r="I106" s="17">
        <v>1</v>
      </c>
      <c r="J106" s="17">
        <v>1</v>
      </c>
      <c r="K106" s="18" t="str">
        <f t="shared" ref="K106:K107" si="32">HYPERLINK("http://twitter.com/download/iphone","Twitter for iPhone")</f>
        <v>Twitter for iPhone</v>
      </c>
      <c r="L106" s="17">
        <v>18090</v>
      </c>
      <c r="M106" s="17">
        <v>8496</v>
      </c>
      <c r="N106" s="17">
        <v>993</v>
      </c>
      <c r="O106" s="23" t="s">
        <v>319</v>
      </c>
      <c r="P106" s="10">
        <v>39841.143726851849</v>
      </c>
      <c r="Q106" s="20" t="s">
        <v>320</v>
      </c>
      <c r="R106" s="21" t="s">
        <v>321</v>
      </c>
      <c r="S106" s="16" t="s">
        <v>322</v>
      </c>
      <c r="T106" s="15"/>
      <c r="U106" s="14" t="str">
        <f t="shared" ref="U106:U107" si="33">HYPERLINK("https://pbs.twimg.com/profile_images/719436576632213504/zxGLw13d.jpg","View")</f>
        <v>View</v>
      </c>
    </row>
    <row r="107" spans="1:21" ht="50">
      <c r="A107" s="10">
        <v>43346.307233796295</v>
      </c>
      <c r="B107" s="11" t="str">
        <f t="shared" si="31"/>
        <v>@MarDixon</v>
      </c>
      <c r="C107" s="12" t="s">
        <v>317</v>
      </c>
      <c r="D107" s="13" t="s">
        <v>382</v>
      </c>
      <c r="E107" s="14" t="str">
        <f>HYPERLINK("https://twitter.com/MarDixon/status/1036620433200689153","1036620433200689153")</f>
        <v>1036620433200689153</v>
      </c>
      <c r="F107" s="15"/>
      <c r="G107" s="16" t="s">
        <v>383</v>
      </c>
      <c r="H107" s="15"/>
      <c r="I107" s="17">
        <v>2</v>
      </c>
      <c r="J107" s="17">
        <v>12</v>
      </c>
      <c r="K107" s="18" t="str">
        <f t="shared" si="32"/>
        <v>Twitter for iPhone</v>
      </c>
      <c r="L107" s="17">
        <v>18090</v>
      </c>
      <c r="M107" s="17">
        <v>8496</v>
      </c>
      <c r="N107" s="17">
        <v>993</v>
      </c>
      <c r="O107" s="23" t="s">
        <v>319</v>
      </c>
      <c r="P107" s="10">
        <v>39841.143726851849</v>
      </c>
      <c r="Q107" s="20" t="s">
        <v>320</v>
      </c>
      <c r="R107" s="21" t="s">
        <v>321</v>
      </c>
      <c r="S107" s="16" t="s">
        <v>322</v>
      </c>
      <c r="T107" s="15"/>
      <c r="U107" s="14" t="str">
        <f t="shared" si="33"/>
        <v>View</v>
      </c>
    </row>
    <row r="108" spans="1:21" ht="40">
      <c r="A108" s="10">
        <v>43346.302789351852</v>
      </c>
      <c r="B108" s="11" t="str">
        <f>HYPERLINK("https://twitter.com/RichardWright","@RichardWright")</f>
        <v>@RichardWright</v>
      </c>
      <c r="C108" s="12" t="s">
        <v>384</v>
      </c>
      <c r="D108" s="13" t="s">
        <v>385</v>
      </c>
      <c r="E108" s="14" t="str">
        <f>HYPERLINK("https://twitter.com/RichardWright/status/1036618821308739585","1036618821308739585")</f>
        <v>1036618821308739585</v>
      </c>
      <c r="F108" s="15"/>
      <c r="G108" s="15"/>
      <c r="H108" s="15"/>
      <c r="I108" s="17">
        <v>1</v>
      </c>
      <c r="J108" s="17">
        <v>6</v>
      </c>
      <c r="K108" s="18" t="str">
        <f>HYPERLINK("https://mobile.twitter.com","Twitter Lite")</f>
        <v>Twitter Lite</v>
      </c>
      <c r="L108" s="17">
        <v>438</v>
      </c>
      <c r="M108" s="17">
        <v>13</v>
      </c>
      <c r="N108" s="17">
        <v>11</v>
      </c>
      <c r="O108" s="19"/>
      <c r="P108" s="10">
        <v>39227.300497685181</v>
      </c>
      <c r="Q108" s="20" t="s">
        <v>56</v>
      </c>
      <c r="R108" s="21" t="s">
        <v>386</v>
      </c>
      <c r="S108" s="16" t="s">
        <v>387</v>
      </c>
      <c r="T108" s="15"/>
      <c r="U108" s="14" t="str">
        <f>HYPERLINK("https://pbs.twimg.com/profile_images/3286930352/48147a64e6644d879e37d6b455235eaf.jpeg","View")</f>
        <v>View</v>
      </c>
    </row>
    <row r="109" spans="1:21" ht="40">
      <c r="A109" s="10">
        <v>43346.300289351857</v>
      </c>
      <c r="B109" s="11" t="str">
        <f>HYPERLINK("https://twitter.com/Preservica","@Preservica")</f>
        <v>@Preservica</v>
      </c>
      <c r="C109" s="12" t="s">
        <v>293</v>
      </c>
      <c r="D109" s="13" t="s">
        <v>388</v>
      </c>
      <c r="E109" s="14" t="str">
        <f>HYPERLINK("https://twitter.com/Preservica/status/1036617916517699584","1036617916517699584")</f>
        <v>1036617916517699584</v>
      </c>
      <c r="F109" s="15"/>
      <c r="G109" s="16" t="s">
        <v>389</v>
      </c>
      <c r="H109" s="15"/>
      <c r="I109" s="17">
        <v>0</v>
      </c>
      <c r="J109" s="17">
        <v>3</v>
      </c>
      <c r="K109" s="18" t="str">
        <f>HYPERLINK("http://twitter.com","Twitter Web Client")</f>
        <v>Twitter Web Client</v>
      </c>
      <c r="L109" s="17">
        <v>1470</v>
      </c>
      <c r="M109" s="17">
        <v>4014</v>
      </c>
      <c r="N109" s="17">
        <v>69</v>
      </c>
      <c r="O109" s="19"/>
      <c r="P109" s="10">
        <v>40861.08699074074</v>
      </c>
      <c r="Q109" s="20" t="s">
        <v>296</v>
      </c>
      <c r="R109" s="21" t="s">
        <v>297</v>
      </c>
      <c r="S109" s="16" t="s">
        <v>298</v>
      </c>
      <c r="T109" s="15"/>
      <c r="U109" s="14" t="str">
        <f>HYPERLINK("https://pbs.twimg.com/profile_images/889516888786685952/nPCksBMu.jpg","View")</f>
        <v>View</v>
      </c>
    </row>
    <row r="110" spans="1:21" ht="30">
      <c r="A110" s="10">
        <v>43346.296296296292</v>
      </c>
      <c r="B110" s="11" t="str">
        <f>HYPERLINK("https://twitter.com/dri_ireland","@dri_ireland")</f>
        <v>@dri_ireland</v>
      </c>
      <c r="C110" s="12" t="s">
        <v>197</v>
      </c>
      <c r="D110" s="13" t="s">
        <v>390</v>
      </c>
      <c r="E110" s="14" t="str">
        <f>HYPERLINK("https://twitter.com/dri_ireland/status/1036616470682394624","1036616470682394624")</f>
        <v>1036616470682394624</v>
      </c>
      <c r="F110" s="15"/>
      <c r="G110" s="16" t="s">
        <v>391</v>
      </c>
      <c r="H110" s="15"/>
      <c r="I110" s="17">
        <v>4</v>
      </c>
      <c r="J110" s="17">
        <v>1</v>
      </c>
      <c r="K110" s="18" t="str">
        <f t="shared" ref="K110:K118" si="34">HYPERLINK("http://twitter.com/download/android","Twitter for Android")</f>
        <v>Twitter for Android</v>
      </c>
      <c r="L110" s="17">
        <v>6134</v>
      </c>
      <c r="M110" s="17">
        <v>1732</v>
      </c>
      <c r="N110" s="17">
        <v>249</v>
      </c>
      <c r="O110" s="19"/>
      <c r="P110" s="10">
        <v>41172.215312500004</v>
      </c>
      <c r="Q110" s="20" t="s">
        <v>200</v>
      </c>
      <c r="R110" s="21" t="s">
        <v>201</v>
      </c>
      <c r="S110" s="16" t="s">
        <v>202</v>
      </c>
      <c r="T110" s="15"/>
      <c r="U110" s="14" t="str">
        <f>HYPERLINK("https://pbs.twimg.com/profile_images/603126975268581376/cGZW7aU3.jpg","View")</f>
        <v>View</v>
      </c>
    </row>
    <row r="111" spans="1:21" ht="30">
      <c r="A111" s="10">
        <v>43346.295752314814</v>
      </c>
      <c r="B111" s="11" t="str">
        <f>HYPERLINK("https://twitter.com/MrSoupSpoon","@MrSoupSpoon")</f>
        <v>@MrSoupSpoon</v>
      </c>
      <c r="C111" s="12" t="s">
        <v>222</v>
      </c>
      <c r="D111" s="13" t="s">
        <v>392</v>
      </c>
      <c r="E111" s="14" t="str">
        <f>HYPERLINK("https://twitter.com/MrSoupSpoon/status/1036616274506403841","1036616274506403841")</f>
        <v>1036616274506403841</v>
      </c>
      <c r="F111" s="15"/>
      <c r="G111" s="15"/>
      <c r="H111" s="15"/>
      <c r="I111" s="17">
        <v>2</v>
      </c>
      <c r="J111" s="17">
        <v>4</v>
      </c>
      <c r="K111" s="18" t="str">
        <f t="shared" si="34"/>
        <v>Twitter for Android</v>
      </c>
      <c r="L111" s="17">
        <v>677</v>
      </c>
      <c r="M111" s="17">
        <v>2552</v>
      </c>
      <c r="N111" s="17">
        <v>10</v>
      </c>
      <c r="O111" s="19"/>
      <c r="P111" s="10">
        <v>39875.569189814814</v>
      </c>
      <c r="Q111" s="20" t="s">
        <v>224</v>
      </c>
      <c r="R111" s="21" t="s">
        <v>225</v>
      </c>
      <c r="S111" s="16" t="s">
        <v>226</v>
      </c>
      <c r="T111" s="15"/>
      <c r="U111" s="14" t="str">
        <f>HYPERLINK("https://pbs.twimg.com/profile_images/951195777589743616/I4PyvXG5.jpg","View")</f>
        <v>View</v>
      </c>
    </row>
    <row r="112" spans="1:21" ht="40">
      <c r="A112" s="10">
        <v>43346.293796296297</v>
      </c>
      <c r="B112" s="11" t="str">
        <f>HYPERLINK("https://twitter.com/CaylinSSmith","@CaylinSSmith")</f>
        <v>@CaylinSSmith</v>
      </c>
      <c r="C112" s="12" t="s">
        <v>204</v>
      </c>
      <c r="D112" s="13" t="s">
        <v>393</v>
      </c>
      <c r="E112" s="14" t="str">
        <f>HYPERLINK("https://twitter.com/CaylinSSmith/status/1036615563517341700","1036615563517341700")</f>
        <v>1036615563517341700</v>
      </c>
      <c r="F112" s="15"/>
      <c r="G112" s="16" t="s">
        <v>394</v>
      </c>
      <c r="H112" s="15"/>
      <c r="I112" s="17">
        <v>4</v>
      </c>
      <c r="J112" s="17">
        <v>4</v>
      </c>
      <c r="K112" s="18" t="str">
        <f t="shared" si="34"/>
        <v>Twitter for Android</v>
      </c>
      <c r="L112" s="17">
        <v>1013</v>
      </c>
      <c r="M112" s="17">
        <v>2629</v>
      </c>
      <c r="N112" s="17">
        <v>68</v>
      </c>
      <c r="O112" s="19"/>
      <c r="P112" s="10">
        <v>40376.763761574075</v>
      </c>
      <c r="Q112" s="20" t="s">
        <v>206</v>
      </c>
      <c r="R112" s="21" t="s">
        <v>207</v>
      </c>
      <c r="S112" s="16" t="s">
        <v>208</v>
      </c>
      <c r="T112" s="15"/>
      <c r="U112" s="14" t="str">
        <f>HYPERLINK("https://pbs.twimg.com/profile_images/1027591872028524545/k9Xatqj3.jpg","View")</f>
        <v>View</v>
      </c>
    </row>
    <row r="113" spans="1:21" ht="40">
      <c r="A113" s="10">
        <v>43346.293402777781</v>
      </c>
      <c r="B113" s="11" t="str">
        <f>HYPERLINK("https://twitter.com/Paleophile","@Paleophile")</f>
        <v>@Paleophile</v>
      </c>
      <c r="C113" s="12" t="s">
        <v>395</v>
      </c>
      <c r="D113" s="13" t="s">
        <v>396</v>
      </c>
      <c r="E113" s="14" t="str">
        <f>HYPERLINK("https://twitter.com/Paleophile/status/1036615422362247168","1036615422362247168")</f>
        <v>1036615422362247168</v>
      </c>
      <c r="F113" s="15"/>
      <c r="G113" s="15"/>
      <c r="H113" s="15"/>
      <c r="I113" s="17">
        <v>1</v>
      </c>
      <c r="J113" s="17">
        <v>2</v>
      </c>
      <c r="K113" s="18" t="str">
        <f t="shared" si="34"/>
        <v>Twitter for Android</v>
      </c>
      <c r="L113" s="17">
        <v>5925</v>
      </c>
      <c r="M113" s="17">
        <v>2423</v>
      </c>
      <c r="N113" s="17">
        <v>417</v>
      </c>
      <c r="O113" s="19"/>
      <c r="P113" s="10">
        <v>40578.872442129628</v>
      </c>
      <c r="Q113" s="20" t="s">
        <v>397</v>
      </c>
      <c r="R113" s="21" t="s">
        <v>398</v>
      </c>
      <c r="S113" s="15"/>
      <c r="T113" s="15"/>
      <c r="U113" s="14" t="str">
        <f>HYPERLINK("https://pbs.twimg.com/profile_images/881944467917463554/ZlECu8Jg.jpg","View")</f>
        <v>View</v>
      </c>
    </row>
    <row r="114" spans="1:21" ht="40">
      <c r="A114" s="10">
        <v>43346.2894212963</v>
      </c>
      <c r="B114" s="11" t="str">
        <f>HYPERLINK("https://twitter.com/Sarah_DPC","@Sarah_DPC")</f>
        <v>@Sarah_DPC</v>
      </c>
      <c r="C114" s="12" t="s">
        <v>178</v>
      </c>
      <c r="D114" s="13" t="s">
        <v>399</v>
      </c>
      <c r="E114" s="14" t="str">
        <f>HYPERLINK("https://twitter.com/Sarah_DPC/status/1036613979693621248","1036613979693621248")</f>
        <v>1036613979693621248</v>
      </c>
      <c r="F114" s="15"/>
      <c r="G114" s="15"/>
      <c r="H114" s="15"/>
      <c r="I114" s="17">
        <v>4</v>
      </c>
      <c r="J114" s="17">
        <v>8</v>
      </c>
      <c r="K114" s="18" t="str">
        <f t="shared" si="34"/>
        <v>Twitter for Android</v>
      </c>
      <c r="L114" s="17">
        <v>1270</v>
      </c>
      <c r="M114" s="17">
        <v>715</v>
      </c>
      <c r="N114" s="17">
        <v>51</v>
      </c>
      <c r="O114" s="19"/>
      <c r="P114" s="10">
        <v>41373.188576388886</v>
      </c>
      <c r="Q114" s="20" t="s">
        <v>180</v>
      </c>
      <c r="R114" s="21" t="s">
        <v>181</v>
      </c>
      <c r="S114" s="16" t="s">
        <v>182</v>
      </c>
      <c r="T114" s="15"/>
      <c r="U114" s="14" t="str">
        <f>HYPERLINK("https://pbs.twimg.com/profile_images/867263862726434816/K2qoO6sD.jpg","View")</f>
        <v>View</v>
      </c>
    </row>
    <row r="115" spans="1:21" ht="40">
      <c r="A115" s="10">
        <v>43346.288472222222</v>
      </c>
      <c r="B115" s="11" t="str">
        <f>HYPERLINK("https://twitter.com/amkelleher1","@amkelleher1")</f>
        <v>@amkelleher1</v>
      </c>
      <c r="C115" s="12" t="s">
        <v>243</v>
      </c>
      <c r="D115" s="13" t="s">
        <v>400</v>
      </c>
      <c r="E115" s="14" t="str">
        <f>HYPERLINK("https://twitter.com/amkelleher1/status/1036613632744992776","1036613632744992776")</f>
        <v>1036613632744992776</v>
      </c>
      <c r="F115" s="15"/>
      <c r="G115" s="16" t="s">
        <v>401</v>
      </c>
      <c r="H115" s="15"/>
      <c r="I115" s="17">
        <v>4</v>
      </c>
      <c r="J115" s="17">
        <v>14</v>
      </c>
      <c r="K115" s="18" t="str">
        <f t="shared" si="34"/>
        <v>Twitter for Android</v>
      </c>
      <c r="L115" s="17">
        <v>537</v>
      </c>
      <c r="M115" s="17">
        <v>784</v>
      </c>
      <c r="N115" s="17">
        <v>24</v>
      </c>
      <c r="O115" s="19"/>
      <c r="P115" s="10">
        <v>40726.868530092594</v>
      </c>
      <c r="Q115" s="20" t="s">
        <v>245</v>
      </c>
      <c r="R115" s="21" t="s">
        <v>246</v>
      </c>
      <c r="S115" s="16" t="s">
        <v>247</v>
      </c>
      <c r="T115" s="15"/>
      <c r="U115" s="14" t="str">
        <f>HYPERLINK("https://pbs.twimg.com/profile_images/829771558935785473/D5xq017x.jpg","View")</f>
        <v>View</v>
      </c>
    </row>
    <row r="116" spans="1:21" ht="40">
      <c r="A116" s="10">
        <v>43346.287870370375</v>
      </c>
      <c r="B116" s="11" t="str">
        <f>HYPERLINK("https://twitter.com/JoePadfield","@JoePadfield")</f>
        <v>@JoePadfield</v>
      </c>
      <c r="C116" s="12" t="s">
        <v>323</v>
      </c>
      <c r="D116" s="13" t="s">
        <v>402</v>
      </c>
      <c r="E116" s="14" t="str">
        <f>HYPERLINK("https://twitter.com/JoePadfield/status/1036613416570564608","1036613416570564608")</f>
        <v>1036613416570564608</v>
      </c>
      <c r="F116" s="15"/>
      <c r="G116" s="15"/>
      <c r="H116" s="15"/>
      <c r="I116" s="17">
        <v>2</v>
      </c>
      <c r="J116" s="17">
        <v>3</v>
      </c>
      <c r="K116" s="18" t="str">
        <f t="shared" si="34"/>
        <v>Twitter for Android</v>
      </c>
      <c r="L116" s="17">
        <v>1094</v>
      </c>
      <c r="M116" s="17">
        <v>543</v>
      </c>
      <c r="N116" s="17">
        <v>64</v>
      </c>
      <c r="O116" s="19"/>
      <c r="P116" s="10">
        <v>39877.535543981481</v>
      </c>
      <c r="Q116" s="20" t="s">
        <v>56</v>
      </c>
      <c r="R116" s="21" t="s">
        <v>325</v>
      </c>
      <c r="S116" s="16" t="s">
        <v>326</v>
      </c>
      <c r="T116" s="15"/>
      <c r="U116" s="14" t="str">
        <f>HYPERLINK("https://pbs.twimg.com/profile_images/1010189169841328128/aFZtk4bf.jpg","View")</f>
        <v>View</v>
      </c>
    </row>
    <row r="117" spans="1:21" ht="30">
      <c r="A117" s="10">
        <v>43346.287083333329</v>
      </c>
      <c r="B117" s="11" t="str">
        <f>HYPERLINK("https://twitter.com/Sarah_DPC","@Sarah_DPC")</f>
        <v>@Sarah_DPC</v>
      </c>
      <c r="C117" s="12" t="s">
        <v>178</v>
      </c>
      <c r="D117" s="13" t="s">
        <v>403</v>
      </c>
      <c r="E117" s="14" t="str">
        <f>HYPERLINK("https://twitter.com/Sarah_DPC/status/1036613131127140352","1036613131127140352")</f>
        <v>1036613131127140352</v>
      </c>
      <c r="F117" s="15"/>
      <c r="G117" s="15"/>
      <c r="H117" s="15"/>
      <c r="I117" s="17">
        <v>2</v>
      </c>
      <c r="J117" s="17">
        <v>3</v>
      </c>
      <c r="K117" s="18" t="str">
        <f t="shared" si="34"/>
        <v>Twitter for Android</v>
      </c>
      <c r="L117" s="17">
        <v>1270</v>
      </c>
      <c r="M117" s="17">
        <v>715</v>
      </c>
      <c r="N117" s="17">
        <v>51</v>
      </c>
      <c r="O117" s="19"/>
      <c r="P117" s="10">
        <v>41373.188576388886</v>
      </c>
      <c r="Q117" s="20" t="s">
        <v>180</v>
      </c>
      <c r="R117" s="21" t="s">
        <v>181</v>
      </c>
      <c r="S117" s="16" t="s">
        <v>182</v>
      </c>
      <c r="T117" s="15"/>
      <c r="U117" s="14" t="str">
        <f>HYPERLINK("https://pbs.twimg.com/profile_images/867263862726434816/K2qoO6sD.jpg","View")</f>
        <v>View</v>
      </c>
    </row>
    <row r="118" spans="1:21" ht="50">
      <c r="A118" s="10">
        <v>43346.286585648151</v>
      </c>
      <c r="B118" s="11" t="str">
        <f>HYPERLINK("https://twitter.com/GeorgiaMallin","@GeorgiaMallin")</f>
        <v>@GeorgiaMallin</v>
      </c>
      <c r="C118" s="12" t="s">
        <v>126</v>
      </c>
      <c r="D118" s="13" t="s">
        <v>404</v>
      </c>
      <c r="E118" s="14" t="str">
        <f>HYPERLINK("https://twitter.com/GeorgiaMallin/status/1036612950457556992","1036612950457556992")</f>
        <v>1036612950457556992</v>
      </c>
      <c r="F118" s="15"/>
      <c r="G118" s="16" t="s">
        <v>405</v>
      </c>
      <c r="H118" s="15"/>
      <c r="I118" s="17">
        <v>5</v>
      </c>
      <c r="J118" s="17">
        <v>9</v>
      </c>
      <c r="K118" s="18" t="str">
        <f t="shared" si="34"/>
        <v>Twitter for Android</v>
      </c>
      <c r="L118" s="17">
        <v>528</v>
      </c>
      <c r="M118" s="17">
        <v>1025</v>
      </c>
      <c r="N118" s="17">
        <v>11</v>
      </c>
      <c r="O118" s="19"/>
      <c r="P118" s="10">
        <v>40905.701087962967</v>
      </c>
      <c r="Q118" s="20" t="s">
        <v>41</v>
      </c>
      <c r="R118" s="21" t="s">
        <v>128</v>
      </c>
      <c r="S118" s="15"/>
      <c r="T118" s="15"/>
      <c r="U118" s="14" t="str">
        <f>HYPERLINK("https://pbs.twimg.com/profile_images/874631103193206784/akQp_6iv.jpg","View")</f>
        <v>View</v>
      </c>
    </row>
    <row r="119" spans="1:21" ht="30">
      <c r="A119" s="10">
        <v>43346.286539351851</v>
      </c>
      <c r="B119" s="11" t="str">
        <f>HYPERLINK("https://twitter.com/ellie__miles","@ellie__miles")</f>
        <v>@ellie__miles</v>
      </c>
      <c r="C119" s="12" t="s">
        <v>227</v>
      </c>
      <c r="D119" s="13" t="s">
        <v>406</v>
      </c>
      <c r="E119" s="14" t="str">
        <f>HYPERLINK("https://twitter.com/ellie__miles/status/1036612932870782977","1036612932870782977")</f>
        <v>1036612932870782977</v>
      </c>
      <c r="F119" s="16" t="s">
        <v>407</v>
      </c>
      <c r="G119" s="15"/>
      <c r="H119" s="15"/>
      <c r="I119" s="17">
        <v>3</v>
      </c>
      <c r="J119" s="17">
        <v>4</v>
      </c>
      <c r="K119" s="18" t="str">
        <f>HYPERLINK("https://mobile.twitter.com","Twitter Lite")</f>
        <v>Twitter Lite</v>
      </c>
      <c r="L119" s="17">
        <v>1051</v>
      </c>
      <c r="M119" s="17">
        <v>645</v>
      </c>
      <c r="N119" s="17">
        <v>29</v>
      </c>
      <c r="O119" s="19"/>
      <c r="P119" s="10">
        <v>41065.331909722227</v>
      </c>
      <c r="Q119" s="20" t="s">
        <v>56</v>
      </c>
      <c r="R119" s="21" t="s">
        <v>229</v>
      </c>
      <c r="S119" s="16" t="s">
        <v>230</v>
      </c>
      <c r="T119" s="15"/>
      <c r="U119" s="14" t="str">
        <f>HYPERLINK("https://pbs.twimg.com/profile_images/1017465512325009408/sUSUo4fg.jpg","View")</f>
        <v>View</v>
      </c>
    </row>
    <row r="120" spans="1:21" ht="40">
      <c r="A120" s="10">
        <v>43346.286458333328</v>
      </c>
      <c r="B120" s="11" t="str">
        <f>HYPERLINK("https://twitter.com/CKamposiori","@CKamposiori")</f>
        <v>@CKamposiori</v>
      </c>
      <c r="C120" s="12" t="s">
        <v>218</v>
      </c>
      <c r="D120" s="13" t="s">
        <v>408</v>
      </c>
      <c r="E120" s="14" t="str">
        <f>HYPERLINK("https://twitter.com/CKamposiori/status/1036612903330369536","1036612903330369536")</f>
        <v>1036612903330369536</v>
      </c>
      <c r="F120" s="15"/>
      <c r="G120" s="16" t="s">
        <v>409</v>
      </c>
      <c r="H120" s="15"/>
      <c r="I120" s="17">
        <v>0</v>
      </c>
      <c r="J120" s="17">
        <v>1</v>
      </c>
      <c r="K120" s="18" t="str">
        <f t="shared" ref="K120:K122" si="35">HYPERLINK("http://twitter.com/download/android","Twitter for Android")</f>
        <v>Twitter for Android</v>
      </c>
      <c r="L120" s="17">
        <v>1025</v>
      </c>
      <c r="M120" s="17">
        <v>1024</v>
      </c>
      <c r="N120" s="17">
        <v>62</v>
      </c>
      <c r="O120" s="19"/>
      <c r="P120" s="10">
        <v>41035.594293981485</v>
      </c>
      <c r="Q120" s="20" t="s">
        <v>220</v>
      </c>
      <c r="R120" s="21" t="s">
        <v>221</v>
      </c>
      <c r="S120" s="15"/>
      <c r="T120" s="15"/>
      <c r="U120" s="14" t="str">
        <f>HYPERLINK("https://pbs.twimg.com/profile_images/512669996871208960/UyoWDxT7.jpeg","View")</f>
        <v>View</v>
      </c>
    </row>
    <row r="121" spans="1:21" ht="40">
      <c r="A121" s="10">
        <v>43346.28638888889</v>
      </c>
      <c r="B121" s="11" t="str">
        <f>HYPERLINK("https://twitter.com/HannahWinn3","@HannahWinn3")</f>
        <v>@HannahWinn3</v>
      </c>
      <c r="C121" s="12" t="s">
        <v>410</v>
      </c>
      <c r="D121" s="13" t="s">
        <v>411</v>
      </c>
      <c r="E121" s="14" t="str">
        <f>HYPERLINK("https://twitter.com/HannahWinn3/status/1036612879917740032","1036612879917740032")</f>
        <v>1036612879917740032</v>
      </c>
      <c r="F121" s="15"/>
      <c r="G121" s="16" t="s">
        <v>412</v>
      </c>
      <c r="H121" s="15"/>
      <c r="I121" s="17">
        <v>0</v>
      </c>
      <c r="J121" s="17">
        <v>2</v>
      </c>
      <c r="K121" s="18" t="str">
        <f t="shared" si="35"/>
        <v>Twitter for Android</v>
      </c>
      <c r="L121" s="17">
        <v>131</v>
      </c>
      <c r="M121" s="17">
        <v>475</v>
      </c>
      <c r="N121" s="17">
        <v>0</v>
      </c>
      <c r="O121" s="19"/>
      <c r="P121" s="10">
        <v>41544.526203703703</v>
      </c>
      <c r="Q121" s="20" t="s">
        <v>413</v>
      </c>
      <c r="R121" s="21" t="s">
        <v>414</v>
      </c>
      <c r="S121" s="15"/>
      <c r="T121" s="15"/>
      <c r="U121" s="14" t="str">
        <f>HYPERLINK("https://pbs.twimg.com/profile_images/1025766857708646402/dDkC78I9.jpg","View")</f>
        <v>View</v>
      </c>
    </row>
    <row r="122" spans="1:21" ht="40">
      <c r="A122" s="10">
        <v>43346.286238425921</v>
      </c>
      <c r="B122" s="11" t="str">
        <f>HYPERLINK("https://twitter.com/dri_ireland","@dri_ireland")</f>
        <v>@dri_ireland</v>
      </c>
      <c r="C122" s="12" t="s">
        <v>197</v>
      </c>
      <c r="D122" s="13" t="s">
        <v>415</v>
      </c>
      <c r="E122" s="14" t="str">
        <f>HYPERLINK("https://twitter.com/dri_ireland/status/1036612826901692417","1036612826901692417")</f>
        <v>1036612826901692417</v>
      </c>
      <c r="F122" s="15"/>
      <c r="G122" s="16" t="s">
        <v>416</v>
      </c>
      <c r="H122" s="15"/>
      <c r="I122" s="17">
        <v>2</v>
      </c>
      <c r="J122" s="17">
        <v>7</v>
      </c>
      <c r="K122" s="18" t="str">
        <f t="shared" si="35"/>
        <v>Twitter for Android</v>
      </c>
      <c r="L122" s="17">
        <v>6134</v>
      </c>
      <c r="M122" s="17">
        <v>1732</v>
      </c>
      <c r="N122" s="17">
        <v>249</v>
      </c>
      <c r="O122" s="19"/>
      <c r="P122" s="10">
        <v>41172.215312500004</v>
      </c>
      <c r="Q122" s="20" t="s">
        <v>200</v>
      </c>
      <c r="R122" s="21" t="s">
        <v>201</v>
      </c>
      <c r="S122" s="16" t="s">
        <v>202</v>
      </c>
      <c r="T122" s="15"/>
      <c r="U122" s="14" t="str">
        <f>HYPERLINK("https://pbs.twimg.com/profile_images/603126975268581376/cGZW7aU3.jpg","View")</f>
        <v>View</v>
      </c>
    </row>
    <row r="123" spans="1:21" ht="50">
      <c r="A123" s="10">
        <v>43346.286180555559</v>
      </c>
      <c r="B123" s="11" t="str">
        <f>HYPERLINK("https://twitter.com/digitalpunctum","@digitalpunctum")</f>
        <v>@digitalpunctum</v>
      </c>
      <c r="C123" s="12" t="s">
        <v>122</v>
      </c>
      <c r="D123" s="13" t="s">
        <v>417</v>
      </c>
      <c r="E123" s="14" t="str">
        <f>HYPERLINK("https://twitter.com/digitalpunctum/status/1036612805846331393","1036612805846331393")</f>
        <v>1036612805846331393</v>
      </c>
      <c r="F123" s="15"/>
      <c r="G123" s="16" t="s">
        <v>418</v>
      </c>
      <c r="H123" s="15"/>
      <c r="I123" s="17">
        <v>4</v>
      </c>
      <c r="J123" s="17">
        <v>5</v>
      </c>
      <c r="K123" s="18" t="str">
        <f>HYPERLINK("https://mobile.twitter.com","Twitter Lite")</f>
        <v>Twitter Lite</v>
      </c>
      <c r="L123" s="17">
        <v>208</v>
      </c>
      <c r="M123" s="17">
        <v>579</v>
      </c>
      <c r="N123" s="17">
        <v>2</v>
      </c>
      <c r="O123" s="19"/>
      <c r="P123" s="10">
        <v>43192.546041666668</v>
      </c>
      <c r="Q123" s="15"/>
      <c r="R123" s="21" t="s">
        <v>125</v>
      </c>
      <c r="S123" s="15"/>
      <c r="T123" s="15"/>
      <c r="U123" s="14" t="str">
        <f>HYPERLINK("https://pbs.twimg.com/profile_images/991669288556785664/stw8Ki5o.jpg","View")</f>
        <v>View</v>
      </c>
    </row>
    <row r="124" spans="1:21" ht="50">
      <c r="A124" s="10">
        <v>43346.285925925928</v>
      </c>
      <c r="B124" s="11" t="str">
        <f>HYPERLINK("https://twitter.com/thatmuseumguy","@thatmuseumguy")</f>
        <v>@thatmuseumguy</v>
      </c>
      <c r="C124" s="12" t="s">
        <v>419</v>
      </c>
      <c r="D124" s="13" t="s">
        <v>420</v>
      </c>
      <c r="E124" s="14" t="str">
        <f>HYPERLINK("https://twitter.com/thatmuseumguy/status/1036612710031667202","1036612710031667202")</f>
        <v>1036612710031667202</v>
      </c>
      <c r="F124" s="15"/>
      <c r="G124" s="16" t="s">
        <v>421</v>
      </c>
      <c r="H124" s="15"/>
      <c r="I124" s="17">
        <v>5</v>
      </c>
      <c r="J124" s="17">
        <v>7</v>
      </c>
      <c r="K124" s="18" t="str">
        <f>HYPERLINK("http://twitter.com/download/iphone","Twitter for iPhone")</f>
        <v>Twitter for iPhone</v>
      </c>
      <c r="L124" s="17">
        <v>1287</v>
      </c>
      <c r="M124" s="17">
        <v>281</v>
      </c>
      <c r="N124" s="17">
        <v>68</v>
      </c>
      <c r="O124" s="19"/>
      <c r="P124" s="10">
        <v>40972.271168981482</v>
      </c>
      <c r="Q124" s="20" t="s">
        <v>422</v>
      </c>
      <c r="R124" s="21" t="s">
        <v>423</v>
      </c>
      <c r="S124" s="16" t="s">
        <v>424</v>
      </c>
      <c r="T124" s="15"/>
      <c r="U124" s="14" t="str">
        <f>HYPERLINK("https://pbs.twimg.com/profile_images/1010082102333857794/a1-qQPdj.jpg","View")</f>
        <v>View</v>
      </c>
    </row>
    <row r="125" spans="1:21" ht="30">
      <c r="A125" s="10">
        <v>43346.285787037035</v>
      </c>
      <c r="B125" s="11" t="str">
        <f>HYPERLINK("https://twitter.com/WilliamKilbride","@WilliamKilbride")</f>
        <v>@WilliamKilbride</v>
      </c>
      <c r="C125" s="12" t="s">
        <v>49</v>
      </c>
      <c r="D125" s="13" t="s">
        <v>425</v>
      </c>
      <c r="E125" s="14" t="str">
        <f>HYPERLINK("https://twitter.com/WilliamKilbride/status/1036612659733508096","1036612659733508096")</f>
        <v>1036612659733508096</v>
      </c>
      <c r="F125" s="15"/>
      <c r="G125" s="15"/>
      <c r="H125" s="15"/>
      <c r="I125" s="17">
        <v>6</v>
      </c>
      <c r="J125" s="17">
        <v>14</v>
      </c>
      <c r="K125" s="18" t="str">
        <f>HYPERLINK("http://twitter.com/download/android","Twitter for Android")</f>
        <v>Twitter for Android</v>
      </c>
      <c r="L125" s="17">
        <v>3065</v>
      </c>
      <c r="M125" s="17">
        <v>582</v>
      </c>
      <c r="N125" s="17">
        <v>180</v>
      </c>
      <c r="O125" s="19"/>
      <c r="P125" s="10">
        <v>39917.310949074075</v>
      </c>
      <c r="Q125" s="20" t="s">
        <v>51</v>
      </c>
      <c r="R125" s="21" t="s">
        <v>52</v>
      </c>
      <c r="S125" s="16" t="s">
        <v>53</v>
      </c>
      <c r="T125" s="15"/>
      <c r="U125" s="14" t="str">
        <f>HYPERLINK("https://pbs.twimg.com/profile_images/606802634499080192/ZWLKLGdh.png","View")</f>
        <v>View</v>
      </c>
    </row>
    <row r="126" spans="1:21" ht="20">
      <c r="A126" s="10">
        <v>43346.285358796296</v>
      </c>
      <c r="B126" s="11" t="str">
        <f>HYPERLINK("https://twitter.com/cousinsjenny","@cousinsjenny")</f>
        <v>@cousinsjenny</v>
      </c>
      <c r="C126" s="12" t="s">
        <v>426</v>
      </c>
      <c r="D126" s="13" t="s">
        <v>427</v>
      </c>
      <c r="E126" s="14" t="str">
        <f>HYPERLINK("https://twitter.com/cousinsjenny/status/1036612507719401472","1036612507719401472")</f>
        <v>1036612507719401472</v>
      </c>
      <c r="F126" s="15"/>
      <c r="G126" s="16" t="s">
        <v>428</v>
      </c>
      <c r="H126" s="15"/>
      <c r="I126" s="17">
        <v>4</v>
      </c>
      <c r="J126" s="17">
        <v>13</v>
      </c>
      <c r="K126" s="18" t="str">
        <f>HYPERLINK("http://twitter.com/download/iphone","Twitter for iPhone")</f>
        <v>Twitter for iPhone</v>
      </c>
      <c r="L126" s="17">
        <v>154</v>
      </c>
      <c r="M126" s="17">
        <v>90</v>
      </c>
      <c r="N126" s="17">
        <v>1</v>
      </c>
      <c r="O126" s="19"/>
      <c r="P126" s="10">
        <v>41025.653229166666</v>
      </c>
      <c r="Q126" s="20" t="s">
        <v>429</v>
      </c>
      <c r="R126" s="21" t="s">
        <v>430</v>
      </c>
      <c r="S126" s="16" t="s">
        <v>431</v>
      </c>
      <c r="T126" s="15"/>
      <c r="U126" s="14" t="str">
        <f>HYPERLINK("https://pbs.twimg.com/profile_images/789538844546834432/yujli78h.jpg","View")</f>
        <v>View</v>
      </c>
    </row>
    <row r="127" spans="1:21" ht="40">
      <c r="A127" s="10">
        <v>43346.285185185188</v>
      </c>
      <c r="B127" s="11" t="str">
        <f>HYPERLINK("https://twitter.com/OonaghTweets","@OonaghTweets")</f>
        <v>@OonaghTweets</v>
      </c>
      <c r="C127" s="12" t="s">
        <v>432</v>
      </c>
      <c r="D127" s="13" t="s">
        <v>433</v>
      </c>
      <c r="E127" s="14" t="str">
        <f>HYPERLINK("https://twitter.com/OonaghTweets/status/1036612445278756864","1036612445278756864")</f>
        <v>1036612445278756864</v>
      </c>
      <c r="F127" s="15"/>
      <c r="G127" s="16" t="s">
        <v>434</v>
      </c>
      <c r="H127" s="15"/>
      <c r="I127" s="17">
        <v>3</v>
      </c>
      <c r="J127" s="17">
        <v>15</v>
      </c>
      <c r="K127" s="18" t="str">
        <f t="shared" ref="K127:K128" si="36">HYPERLINK("http://twitter.com/download/android","Twitter for Android")</f>
        <v>Twitter for Android</v>
      </c>
      <c r="L127" s="17">
        <v>5125</v>
      </c>
      <c r="M127" s="17">
        <v>4778</v>
      </c>
      <c r="N127" s="17">
        <v>213</v>
      </c>
      <c r="O127" s="19"/>
      <c r="P127" s="10">
        <v>40455.179166666669</v>
      </c>
      <c r="Q127" s="20" t="s">
        <v>435</v>
      </c>
      <c r="R127" s="21" t="s">
        <v>436</v>
      </c>
      <c r="S127" s="16" t="s">
        <v>437</v>
      </c>
      <c r="T127" s="15"/>
      <c r="U127" s="14" t="str">
        <f>HYPERLINK("https://pbs.twimg.com/profile_images/907377477491851265/9i6lqAFw.jpg","View")</f>
        <v>View</v>
      </c>
    </row>
    <row r="128" spans="1:21" ht="12.5">
      <c r="A128" s="10">
        <v>43346.284594907411</v>
      </c>
      <c r="B128" s="11" t="str">
        <f>HYPERLINK("https://twitter.com/TheStigTaxi","@TheStigTaxi")</f>
        <v>@TheStigTaxi</v>
      </c>
      <c r="C128" s="12" t="s">
        <v>438</v>
      </c>
      <c r="D128" s="13" t="s">
        <v>439</v>
      </c>
      <c r="E128" s="14" t="str">
        <f>HYPERLINK("https://twitter.com/TheStigTaxi/status/1036612230543028224","1036612230543028224")</f>
        <v>1036612230543028224</v>
      </c>
      <c r="F128" s="16" t="s">
        <v>440</v>
      </c>
      <c r="G128" s="16" t="s">
        <v>441</v>
      </c>
      <c r="H128" s="15"/>
      <c r="I128" s="17">
        <v>8</v>
      </c>
      <c r="J128" s="17">
        <v>3</v>
      </c>
      <c r="K128" s="18" t="str">
        <f t="shared" si="36"/>
        <v>Twitter for Android</v>
      </c>
      <c r="L128" s="17">
        <v>4364</v>
      </c>
      <c r="M128" s="17">
        <v>4506</v>
      </c>
      <c r="N128" s="17">
        <v>213</v>
      </c>
      <c r="O128" s="19"/>
      <c r="P128" s="10">
        <v>40369.287499999999</v>
      </c>
      <c r="Q128" s="20" t="s">
        <v>41</v>
      </c>
      <c r="R128" s="21" t="s">
        <v>442</v>
      </c>
      <c r="S128" s="15"/>
      <c r="T128" s="15"/>
      <c r="U128" s="14" t="str">
        <f>HYPERLINK("https://pbs.twimg.com/profile_images/576667127266078720/YIKYE9Nw.jpeg","View")</f>
        <v>View</v>
      </c>
    </row>
    <row r="129" spans="1:21" ht="40">
      <c r="A129" s="10">
        <v>43346.284363425926</v>
      </c>
      <c r="B129" s="11" t="str">
        <f>HYPERLINK("https://twitter.com/gabbyheffernan","@gabbyheffernan")</f>
        <v>@gabbyheffernan</v>
      </c>
      <c r="C129" s="12" t="s">
        <v>443</v>
      </c>
      <c r="D129" s="13" t="s">
        <v>444</v>
      </c>
      <c r="E129" s="14" t="str">
        <f>HYPERLINK("https://twitter.com/gabbyheffernan/status/1036612144354263040","1036612144354263040")</f>
        <v>1036612144354263040</v>
      </c>
      <c r="F129" s="15"/>
      <c r="G129" s="16" t="s">
        <v>445</v>
      </c>
      <c r="H129" s="15"/>
      <c r="I129" s="17">
        <v>22</v>
      </c>
      <c r="J129" s="17">
        <v>35</v>
      </c>
      <c r="K129" s="18" t="str">
        <f>HYPERLINK("http://twitter.com/download/iphone","Twitter for iPhone")</f>
        <v>Twitter for iPhone</v>
      </c>
      <c r="L129" s="17">
        <v>879</v>
      </c>
      <c r="M129" s="17">
        <v>576</v>
      </c>
      <c r="N129" s="17">
        <v>22</v>
      </c>
      <c r="O129" s="19"/>
      <c r="P129" s="10">
        <v>40533.425312499996</v>
      </c>
      <c r="Q129" s="15"/>
      <c r="R129" s="21" t="s">
        <v>446</v>
      </c>
      <c r="S129" s="16" t="s">
        <v>447</v>
      </c>
      <c r="T129" s="15"/>
      <c r="U129" s="14" t="str">
        <f>HYPERLINK("https://pbs.twimg.com/profile_images/691247658246246400/FLXNDfqx.jpg","View")</f>
        <v>View</v>
      </c>
    </row>
    <row r="130" spans="1:21" ht="40">
      <c r="A130" s="10">
        <v>43346.283750000002</v>
      </c>
      <c r="B130" s="11" t="str">
        <f>HYPERLINK("https://twitter.com/OonaghTweets","@OonaghTweets")</f>
        <v>@OonaghTweets</v>
      </c>
      <c r="C130" s="12" t="s">
        <v>432</v>
      </c>
      <c r="D130" s="13" t="s">
        <v>448</v>
      </c>
      <c r="E130" s="14" t="str">
        <f>HYPERLINK("https://twitter.com/OonaghTweets/status/1036611923029229568","1036611923029229568")</f>
        <v>1036611923029229568</v>
      </c>
      <c r="F130" s="15"/>
      <c r="G130" s="16" t="s">
        <v>449</v>
      </c>
      <c r="H130" s="15"/>
      <c r="I130" s="17">
        <v>4</v>
      </c>
      <c r="J130" s="17">
        <v>12</v>
      </c>
      <c r="K130" s="18" t="str">
        <f t="shared" ref="K130:K131" si="37">HYPERLINK("http://twitter.com/download/android","Twitter for Android")</f>
        <v>Twitter for Android</v>
      </c>
      <c r="L130" s="17">
        <v>5125</v>
      </c>
      <c r="M130" s="17">
        <v>4778</v>
      </c>
      <c r="N130" s="17">
        <v>213</v>
      </c>
      <c r="O130" s="19"/>
      <c r="P130" s="10">
        <v>40455.179166666669</v>
      </c>
      <c r="Q130" s="20" t="s">
        <v>435</v>
      </c>
      <c r="R130" s="21" t="s">
        <v>436</v>
      </c>
      <c r="S130" s="16" t="s">
        <v>437</v>
      </c>
      <c r="T130" s="15"/>
      <c r="U130" s="14" t="str">
        <f>HYPERLINK("https://pbs.twimg.com/profile_images/907377477491851265/9i6lqAFw.jpg","View")</f>
        <v>View</v>
      </c>
    </row>
    <row r="131" spans="1:21" ht="30">
      <c r="A131" s="10">
        <v>43346.283414351856</v>
      </c>
      <c r="B131" s="11" t="str">
        <f>HYPERLINK("https://twitter.com/WilliamKilbride","@WilliamKilbride")</f>
        <v>@WilliamKilbride</v>
      </c>
      <c r="C131" s="12" t="s">
        <v>49</v>
      </c>
      <c r="D131" s="13" t="s">
        <v>450</v>
      </c>
      <c r="E131" s="14" t="str">
        <f>HYPERLINK("https://twitter.com/WilliamKilbride/status/1036611800819793920","1036611800819793920")</f>
        <v>1036611800819793920</v>
      </c>
      <c r="F131" s="16" t="s">
        <v>451</v>
      </c>
      <c r="G131" s="15"/>
      <c r="H131" s="15"/>
      <c r="I131" s="17">
        <v>3</v>
      </c>
      <c r="J131" s="17">
        <v>7</v>
      </c>
      <c r="K131" s="18" t="str">
        <f t="shared" si="37"/>
        <v>Twitter for Android</v>
      </c>
      <c r="L131" s="17">
        <v>3065</v>
      </c>
      <c r="M131" s="17">
        <v>582</v>
      </c>
      <c r="N131" s="17">
        <v>180</v>
      </c>
      <c r="O131" s="19"/>
      <c r="P131" s="10">
        <v>39917.310949074075</v>
      </c>
      <c r="Q131" s="20" t="s">
        <v>51</v>
      </c>
      <c r="R131" s="21" t="s">
        <v>52</v>
      </c>
      <c r="S131" s="16" t="s">
        <v>53</v>
      </c>
      <c r="T131" s="15"/>
      <c r="U131" s="14" t="str">
        <f>HYPERLINK("https://pbs.twimg.com/profile_images/606802634499080192/ZWLKLGdh.png","View")</f>
        <v>View</v>
      </c>
    </row>
    <row r="132" spans="1:21" ht="50">
      <c r="A132" s="10">
        <v>43346.282916666663</v>
      </c>
      <c r="B132" s="11" t="str">
        <f>HYPERLINK("https://twitter.com/MarDixon","@MarDixon")</f>
        <v>@MarDixon</v>
      </c>
      <c r="C132" s="12" t="s">
        <v>317</v>
      </c>
      <c r="D132" s="13" t="s">
        <v>452</v>
      </c>
      <c r="E132" s="14" t="str">
        <f>HYPERLINK("https://twitter.com/MarDixon/status/1036611622356312065","1036611622356312065")</f>
        <v>1036611622356312065</v>
      </c>
      <c r="F132" s="15"/>
      <c r="G132" s="16" t="s">
        <v>453</v>
      </c>
      <c r="H132" s="15"/>
      <c r="I132" s="17">
        <v>0</v>
      </c>
      <c r="J132" s="17">
        <v>3</v>
      </c>
      <c r="K132" s="18" t="str">
        <f>HYPERLINK("http://twitter.com/download/iphone","Twitter for iPhone")</f>
        <v>Twitter for iPhone</v>
      </c>
      <c r="L132" s="17">
        <v>18090</v>
      </c>
      <c r="M132" s="17">
        <v>8496</v>
      </c>
      <c r="N132" s="17">
        <v>993</v>
      </c>
      <c r="O132" s="23" t="s">
        <v>319</v>
      </c>
      <c r="P132" s="10">
        <v>39841.143726851849</v>
      </c>
      <c r="Q132" s="20" t="s">
        <v>320</v>
      </c>
      <c r="R132" s="21" t="s">
        <v>321</v>
      </c>
      <c r="S132" s="16" t="s">
        <v>322</v>
      </c>
      <c r="T132" s="15"/>
      <c r="U132" s="14" t="str">
        <f>HYPERLINK("https://pbs.twimg.com/profile_images/719436576632213504/zxGLw13d.jpg","View")</f>
        <v>View</v>
      </c>
    </row>
    <row r="133" spans="1:21" ht="50">
      <c r="A133" s="10">
        <v>43346.28288194444</v>
      </c>
      <c r="B133" s="11" t="str">
        <f>HYPERLINK("https://twitter.com/Sarah_DPC","@Sarah_DPC")</f>
        <v>@Sarah_DPC</v>
      </c>
      <c r="C133" s="12" t="s">
        <v>178</v>
      </c>
      <c r="D133" s="13" t="s">
        <v>454</v>
      </c>
      <c r="E133" s="14" t="str">
        <f>HYPERLINK("https://twitter.com/Sarah_DPC/status/1036611608749977600","1036611608749977600")</f>
        <v>1036611608749977600</v>
      </c>
      <c r="F133" s="15"/>
      <c r="G133" s="15"/>
      <c r="H133" s="15"/>
      <c r="I133" s="17">
        <v>5</v>
      </c>
      <c r="J133" s="17">
        <v>1</v>
      </c>
      <c r="K133" s="18" t="str">
        <f t="shared" ref="K133:K134" si="38">HYPERLINK("http://twitter.com/download/android","Twitter for Android")</f>
        <v>Twitter for Android</v>
      </c>
      <c r="L133" s="17">
        <v>1270</v>
      </c>
      <c r="M133" s="17">
        <v>715</v>
      </c>
      <c r="N133" s="17">
        <v>51</v>
      </c>
      <c r="O133" s="19"/>
      <c r="P133" s="10">
        <v>41373.188576388886</v>
      </c>
      <c r="Q133" s="20" t="s">
        <v>180</v>
      </c>
      <c r="R133" s="21" t="s">
        <v>181</v>
      </c>
      <c r="S133" s="16" t="s">
        <v>182</v>
      </c>
      <c r="T133" s="15"/>
      <c r="U133" s="14" t="str">
        <f>HYPERLINK("https://pbs.twimg.com/profile_images/867263862726434816/K2qoO6sD.jpg","View")</f>
        <v>View</v>
      </c>
    </row>
    <row r="134" spans="1:21" ht="40">
      <c r="A134" s="10">
        <v>43346.282685185186</v>
      </c>
      <c r="B134" s="11" t="str">
        <f>HYPERLINK("https://twitter.com/LauraSellers11","@LauraSellers11")</f>
        <v>@LauraSellers11</v>
      </c>
      <c r="C134" s="12" t="s">
        <v>455</v>
      </c>
      <c r="D134" s="13" t="s">
        <v>456</v>
      </c>
      <c r="E134" s="14" t="str">
        <f>HYPERLINK("https://twitter.com/LauraSellers11/status/1036611538923216898","1036611538923216898")</f>
        <v>1036611538923216898</v>
      </c>
      <c r="F134" s="15"/>
      <c r="G134" s="16" t="s">
        <v>457</v>
      </c>
      <c r="H134" s="15"/>
      <c r="I134" s="17">
        <v>4</v>
      </c>
      <c r="J134" s="17">
        <v>5</v>
      </c>
      <c r="K134" s="18" t="str">
        <f t="shared" si="38"/>
        <v>Twitter for Android</v>
      </c>
      <c r="L134" s="17">
        <v>1055</v>
      </c>
      <c r="M134" s="17">
        <v>1592</v>
      </c>
      <c r="N134" s="17">
        <v>25</v>
      </c>
      <c r="O134" s="19"/>
      <c r="P134" s="10">
        <v>41120.275081018517</v>
      </c>
      <c r="Q134" s="20" t="s">
        <v>458</v>
      </c>
      <c r="R134" s="21" t="s">
        <v>459</v>
      </c>
      <c r="S134" s="16" t="s">
        <v>460</v>
      </c>
      <c r="T134" s="15"/>
      <c r="U134" s="14" t="str">
        <f>HYPERLINK("https://pbs.twimg.com/profile_images/823499067481321472/Wv8Savk6.jpg","View")</f>
        <v>View</v>
      </c>
    </row>
    <row r="135" spans="1:21" ht="40">
      <c r="A135" s="10">
        <v>43346.282627314809</v>
      </c>
      <c r="B135" s="11" t="str">
        <f>HYPERLINK("https://twitter.com/Godstopper1981","@Godstopper1981")</f>
        <v>@Godstopper1981</v>
      </c>
      <c r="C135" s="12" t="s">
        <v>461</v>
      </c>
      <c r="D135" s="13" t="s">
        <v>462</v>
      </c>
      <c r="E135" s="14" t="str">
        <f>HYPERLINK("https://twitter.com/Godstopper1981/status/1036611517666549760","1036611517666549760")</f>
        <v>1036611517666549760</v>
      </c>
      <c r="F135" s="16" t="s">
        <v>463</v>
      </c>
      <c r="G135" s="16" t="s">
        <v>464</v>
      </c>
      <c r="H135" s="15"/>
      <c r="I135" s="17">
        <v>0</v>
      </c>
      <c r="J135" s="17">
        <v>5</v>
      </c>
      <c r="K135" s="18" t="str">
        <f>HYPERLINK("http://twitter.com","Twitter Web Client")</f>
        <v>Twitter Web Client</v>
      </c>
      <c r="L135" s="17">
        <v>1749</v>
      </c>
      <c r="M135" s="17">
        <v>1338</v>
      </c>
      <c r="N135" s="17">
        <v>66</v>
      </c>
      <c r="O135" s="19"/>
      <c r="P135" s="10">
        <v>39896.265625</v>
      </c>
      <c r="Q135" s="20" t="s">
        <v>465</v>
      </c>
      <c r="R135" s="21" t="s">
        <v>466</v>
      </c>
      <c r="S135" s="15"/>
      <c r="T135" s="15"/>
      <c r="U135" s="14" t="str">
        <f>HYPERLINK("https://pbs.twimg.com/profile_images/1037004456469123082/dNG-lN3r.jpg","View")</f>
        <v>View</v>
      </c>
    </row>
    <row r="136" spans="1:21" ht="40">
      <c r="A136" s="10">
        <v>43346.281342592592</v>
      </c>
      <c r="B136" s="11" t="str">
        <f>HYPERLINK("https://twitter.com/eloisarod","@eloisarod")</f>
        <v>@eloisarod</v>
      </c>
      <c r="C136" s="12" t="s">
        <v>467</v>
      </c>
      <c r="D136" s="13" t="s">
        <v>468</v>
      </c>
      <c r="E136" s="14" t="str">
        <f>HYPERLINK("https://twitter.com/eloisarod/status/1036611052434325504","1036611052434325504")</f>
        <v>1036611052434325504</v>
      </c>
      <c r="F136" s="15"/>
      <c r="G136" s="16" t="s">
        <v>469</v>
      </c>
      <c r="H136" s="15"/>
      <c r="I136" s="17">
        <v>1</v>
      </c>
      <c r="J136" s="17">
        <v>3</v>
      </c>
      <c r="K136" s="18" t="str">
        <f>HYPERLINK("http://twitter.com/download/iphone","Twitter for iPhone")</f>
        <v>Twitter for iPhone</v>
      </c>
      <c r="L136" s="17">
        <v>370</v>
      </c>
      <c r="M136" s="17">
        <v>685</v>
      </c>
      <c r="N136" s="17">
        <v>14</v>
      </c>
      <c r="O136" s="19"/>
      <c r="P136" s="10">
        <v>40350.666979166665</v>
      </c>
      <c r="Q136" s="20" t="s">
        <v>220</v>
      </c>
      <c r="R136" s="21" t="s">
        <v>470</v>
      </c>
      <c r="S136" s="16" t="s">
        <v>471</v>
      </c>
      <c r="T136" s="15"/>
      <c r="U136" s="14" t="str">
        <f>HYPERLINK("https://pbs.twimg.com/profile_images/1030162606047338496/NMXjEz38.jpg","View")</f>
        <v>View</v>
      </c>
    </row>
    <row r="137" spans="1:21" ht="30">
      <c r="A137" s="10">
        <v>43346.281226851846</v>
      </c>
      <c r="B137" s="11" t="str">
        <f>HYPERLINK("https://twitter.com/amkelleher1","@amkelleher1")</f>
        <v>@amkelleher1</v>
      </c>
      <c r="C137" s="12" t="s">
        <v>243</v>
      </c>
      <c r="D137" s="13" t="s">
        <v>472</v>
      </c>
      <c r="E137" s="14" t="str">
        <f>HYPERLINK("https://twitter.com/amkelleher1/status/1036611010055090176","1036611010055090176")</f>
        <v>1036611010055090176</v>
      </c>
      <c r="F137" s="15"/>
      <c r="G137" s="15"/>
      <c r="H137" s="15"/>
      <c r="I137" s="17">
        <v>1</v>
      </c>
      <c r="J137" s="17">
        <v>2</v>
      </c>
      <c r="K137" s="18" t="str">
        <f>HYPERLINK("http://twitter.com/download/android","Twitter for Android")</f>
        <v>Twitter for Android</v>
      </c>
      <c r="L137" s="17">
        <v>537</v>
      </c>
      <c r="M137" s="17">
        <v>784</v>
      </c>
      <c r="N137" s="17">
        <v>24</v>
      </c>
      <c r="O137" s="19"/>
      <c r="P137" s="10">
        <v>40726.868530092594</v>
      </c>
      <c r="Q137" s="20" t="s">
        <v>245</v>
      </c>
      <c r="R137" s="21" t="s">
        <v>246</v>
      </c>
      <c r="S137" s="16" t="s">
        <v>247</v>
      </c>
      <c r="T137" s="15"/>
      <c r="U137" s="14" t="str">
        <f>HYPERLINK("https://pbs.twimg.com/profile_images/829771558935785473/D5xq017x.jpg","View")</f>
        <v>View</v>
      </c>
    </row>
    <row r="138" spans="1:21" ht="40">
      <c r="A138" s="10">
        <v>43346.27952546296</v>
      </c>
      <c r="B138" s="11" t="str">
        <f>HYPERLINK("https://twitter.com/sarahyounas","@sarahyounas")</f>
        <v>@sarahyounas</v>
      </c>
      <c r="C138" s="12" t="s">
        <v>87</v>
      </c>
      <c r="D138" s="13" t="s">
        <v>473</v>
      </c>
      <c r="E138" s="14" t="str">
        <f>HYPERLINK("https://twitter.com/sarahyounas/status/1036610394486464514","1036610394486464514")</f>
        <v>1036610394486464514</v>
      </c>
      <c r="F138" s="15"/>
      <c r="G138" s="15"/>
      <c r="H138" s="15"/>
      <c r="I138" s="17">
        <v>2</v>
      </c>
      <c r="J138" s="17">
        <v>10</v>
      </c>
      <c r="K138" s="18" t="str">
        <f>HYPERLINK("http://twitter.com/download/iphone","Twitter for iPhone")</f>
        <v>Twitter for iPhone</v>
      </c>
      <c r="L138" s="17">
        <v>73</v>
      </c>
      <c r="M138" s="17">
        <v>162</v>
      </c>
      <c r="N138" s="17">
        <v>3</v>
      </c>
      <c r="O138" s="19"/>
      <c r="P138" s="10">
        <v>42327.213217592594</v>
      </c>
      <c r="Q138" s="20" t="s">
        <v>89</v>
      </c>
      <c r="R138" s="21" t="s">
        <v>90</v>
      </c>
      <c r="S138" s="15"/>
      <c r="T138" s="15"/>
      <c r="U138" s="14" t="str">
        <f>HYPERLINK("https://pbs.twimg.com/profile_images/667329279592648704/mlEJxIaj.jpg","View")</f>
        <v>View</v>
      </c>
    </row>
    <row r="139" spans="1:21" ht="40">
      <c r="A139" s="10">
        <v>43346.278564814813</v>
      </c>
      <c r="B139" s="11" t="str">
        <f>HYPERLINK("https://twitter.com/ellie__miles","@ellie__miles")</f>
        <v>@ellie__miles</v>
      </c>
      <c r="C139" s="12" t="s">
        <v>227</v>
      </c>
      <c r="D139" s="13" t="s">
        <v>474</v>
      </c>
      <c r="E139" s="14" t="str">
        <f>HYPERLINK("https://twitter.com/ellie__miles/status/1036610045516152832","1036610045516152832")</f>
        <v>1036610045516152832</v>
      </c>
      <c r="F139" s="15"/>
      <c r="G139" s="16" t="s">
        <v>475</v>
      </c>
      <c r="H139" s="15"/>
      <c r="I139" s="17">
        <v>7</v>
      </c>
      <c r="J139" s="17">
        <v>5</v>
      </c>
      <c r="K139" s="18" t="str">
        <f>HYPERLINK("https://mobile.twitter.com","Twitter Lite")</f>
        <v>Twitter Lite</v>
      </c>
      <c r="L139" s="17">
        <v>1051</v>
      </c>
      <c r="M139" s="17">
        <v>645</v>
      </c>
      <c r="N139" s="17">
        <v>29</v>
      </c>
      <c r="O139" s="19"/>
      <c r="P139" s="10">
        <v>41065.331909722227</v>
      </c>
      <c r="Q139" s="20" t="s">
        <v>56</v>
      </c>
      <c r="R139" s="21" t="s">
        <v>229</v>
      </c>
      <c r="S139" s="16" t="s">
        <v>230</v>
      </c>
      <c r="T139" s="15"/>
      <c r="U139" s="14" t="str">
        <f>HYPERLINK("https://pbs.twimg.com/profile_images/1017465512325009408/sUSUo4fg.jpg","View")</f>
        <v>View</v>
      </c>
    </row>
    <row r="140" spans="1:21" ht="40">
      <c r="A140" s="10">
        <v>43346.278298611112</v>
      </c>
      <c r="B140" s="11" t="str">
        <f>HYPERLINK("https://twitter.com/WilliamKilbride","@WilliamKilbride")</f>
        <v>@WilliamKilbride</v>
      </c>
      <c r="C140" s="12" t="s">
        <v>49</v>
      </c>
      <c r="D140" s="13" t="s">
        <v>476</v>
      </c>
      <c r="E140" s="14" t="str">
        <f>HYPERLINK("https://twitter.com/WilliamKilbride/status/1036609948061458432","1036609948061458432")</f>
        <v>1036609948061458432</v>
      </c>
      <c r="F140" s="15"/>
      <c r="G140" s="15"/>
      <c r="H140" s="15"/>
      <c r="I140" s="17">
        <v>1</v>
      </c>
      <c r="J140" s="17">
        <v>5</v>
      </c>
      <c r="K140" s="18" t="str">
        <f>HYPERLINK("https://about.twitter.com/products/tweetdeck","TweetDeck")</f>
        <v>TweetDeck</v>
      </c>
      <c r="L140" s="17">
        <v>3065</v>
      </c>
      <c r="M140" s="17">
        <v>582</v>
      </c>
      <c r="N140" s="17">
        <v>180</v>
      </c>
      <c r="O140" s="19"/>
      <c r="P140" s="10">
        <v>39917.310949074075</v>
      </c>
      <c r="Q140" s="20" t="s">
        <v>51</v>
      </c>
      <c r="R140" s="21" t="s">
        <v>52</v>
      </c>
      <c r="S140" s="16" t="s">
        <v>53</v>
      </c>
      <c r="T140" s="15"/>
      <c r="U140" s="14" t="str">
        <f>HYPERLINK("https://pbs.twimg.com/profile_images/606802634499080192/ZWLKLGdh.png","View")</f>
        <v>View</v>
      </c>
    </row>
    <row r="141" spans="1:21" ht="30">
      <c r="A141" s="10">
        <v>43346.278020833328</v>
      </c>
      <c r="B141" s="11" t="str">
        <f>HYPERLINK("https://twitter.com/Sarah_DPC","@Sarah_DPC")</f>
        <v>@Sarah_DPC</v>
      </c>
      <c r="C141" s="12" t="s">
        <v>178</v>
      </c>
      <c r="D141" s="13" t="s">
        <v>477</v>
      </c>
      <c r="E141" s="14" t="str">
        <f>HYPERLINK("https://twitter.com/Sarah_DPC/status/1036609845150015489","1036609845150015489")</f>
        <v>1036609845150015489</v>
      </c>
      <c r="F141" s="16" t="s">
        <v>478</v>
      </c>
      <c r="G141" s="15"/>
      <c r="H141" s="15"/>
      <c r="I141" s="17">
        <v>2</v>
      </c>
      <c r="J141" s="17">
        <v>2</v>
      </c>
      <c r="K141" s="18" t="str">
        <f t="shared" ref="K141:K142" si="39">HYPERLINK("http://twitter.com/download/android","Twitter for Android")</f>
        <v>Twitter for Android</v>
      </c>
      <c r="L141" s="17">
        <v>1270</v>
      </c>
      <c r="M141" s="17">
        <v>715</v>
      </c>
      <c r="N141" s="17">
        <v>51</v>
      </c>
      <c r="O141" s="19"/>
      <c r="P141" s="10">
        <v>41373.188576388886</v>
      </c>
      <c r="Q141" s="20" t="s">
        <v>180</v>
      </c>
      <c r="R141" s="21" t="s">
        <v>181</v>
      </c>
      <c r="S141" s="16" t="s">
        <v>182</v>
      </c>
      <c r="T141" s="15"/>
      <c r="U141" s="14" t="str">
        <f>HYPERLINK("https://pbs.twimg.com/profile_images/867263862726434816/K2qoO6sD.jpg","View")</f>
        <v>View</v>
      </c>
    </row>
    <row r="142" spans="1:21" ht="40">
      <c r="A142" s="10">
        <v>43346.277951388889</v>
      </c>
      <c r="B142" s="11" t="str">
        <f>HYPERLINK("https://twitter.com/CKamposiori","@CKamposiori")</f>
        <v>@CKamposiori</v>
      </c>
      <c r="C142" s="12" t="s">
        <v>218</v>
      </c>
      <c r="D142" s="13" t="s">
        <v>479</v>
      </c>
      <c r="E142" s="14" t="str">
        <f>HYPERLINK("https://twitter.com/CKamposiori/status/1036609822643429377","1036609822643429377")</f>
        <v>1036609822643429377</v>
      </c>
      <c r="F142" s="15"/>
      <c r="G142" s="16" t="s">
        <v>480</v>
      </c>
      <c r="H142" s="15"/>
      <c r="I142" s="17">
        <v>0</v>
      </c>
      <c r="J142" s="17">
        <v>1</v>
      </c>
      <c r="K142" s="18" t="str">
        <f t="shared" si="39"/>
        <v>Twitter for Android</v>
      </c>
      <c r="L142" s="17">
        <v>1025</v>
      </c>
      <c r="M142" s="17">
        <v>1024</v>
      </c>
      <c r="N142" s="17">
        <v>62</v>
      </c>
      <c r="O142" s="19"/>
      <c r="P142" s="10">
        <v>41035.594293981485</v>
      </c>
      <c r="Q142" s="20" t="s">
        <v>220</v>
      </c>
      <c r="R142" s="21" t="s">
        <v>221</v>
      </c>
      <c r="S142" s="15"/>
      <c r="T142" s="15"/>
      <c r="U142" s="14" t="str">
        <f>HYPERLINK("https://pbs.twimg.com/profile_images/512669996871208960/UyoWDxT7.jpeg","View")</f>
        <v>View</v>
      </c>
    </row>
    <row r="143" spans="1:21" ht="40">
      <c r="A143" s="10">
        <v>43346.277916666666</v>
      </c>
      <c r="B143" s="11" t="str">
        <f>HYPERLINK("https://twitter.com/MariaEcoGl","@MariaEcoGl")</f>
        <v>@MariaEcoGl</v>
      </c>
      <c r="C143" s="12" t="s">
        <v>304</v>
      </c>
      <c r="D143" s="13" t="s">
        <v>481</v>
      </c>
      <c r="E143" s="14" t="str">
        <f>HYPERLINK("https://twitter.com/MariaEcoGl/status/1036609810521837570","1036609810521837570")</f>
        <v>1036609810521837570</v>
      </c>
      <c r="F143" s="15"/>
      <c r="G143" s="16" t="s">
        <v>482</v>
      </c>
      <c r="H143" s="15"/>
      <c r="I143" s="17">
        <v>2</v>
      </c>
      <c r="J143" s="17">
        <v>5</v>
      </c>
      <c r="K143" s="18" t="str">
        <f t="shared" ref="K143:K144" si="40">HYPERLINK("http://twitter.com/download/iphone","Twitter for iPhone")</f>
        <v>Twitter for iPhone</v>
      </c>
      <c r="L143" s="17">
        <v>1479</v>
      </c>
      <c r="M143" s="17">
        <v>2085</v>
      </c>
      <c r="N143" s="17">
        <v>43</v>
      </c>
      <c r="O143" s="19"/>
      <c r="P143" s="10">
        <v>41611.245787037034</v>
      </c>
      <c r="Q143" s="20" t="s">
        <v>307</v>
      </c>
      <c r="R143" s="21" t="s">
        <v>308</v>
      </c>
      <c r="S143" s="16" t="s">
        <v>309</v>
      </c>
      <c r="T143" s="15"/>
      <c r="U143" s="14" t="str">
        <f>HYPERLINK("https://pbs.twimg.com/profile_images/600251605141692416/YeaqAIJB.png","View")</f>
        <v>View</v>
      </c>
    </row>
    <row r="144" spans="1:21" ht="40">
      <c r="A144" s="10">
        <v>43346.277696759258</v>
      </c>
      <c r="B144" s="11" t="str">
        <f>HYPERLINK("https://twitter.com/gabbyheffernan","@gabbyheffernan")</f>
        <v>@gabbyheffernan</v>
      </c>
      <c r="C144" s="12" t="s">
        <v>443</v>
      </c>
      <c r="D144" s="13" t="s">
        <v>483</v>
      </c>
      <c r="E144" s="14" t="str">
        <f>HYPERLINK("https://twitter.com/gabbyheffernan/status/1036609728514871296","1036609728514871296")</f>
        <v>1036609728514871296</v>
      </c>
      <c r="F144" s="15"/>
      <c r="G144" s="16" t="s">
        <v>484</v>
      </c>
      <c r="H144" s="15"/>
      <c r="I144" s="17">
        <v>4</v>
      </c>
      <c r="J144" s="17">
        <v>7</v>
      </c>
      <c r="K144" s="18" t="str">
        <f t="shared" si="40"/>
        <v>Twitter for iPhone</v>
      </c>
      <c r="L144" s="17">
        <v>879</v>
      </c>
      <c r="M144" s="17">
        <v>576</v>
      </c>
      <c r="N144" s="17">
        <v>22</v>
      </c>
      <c r="O144" s="19"/>
      <c r="P144" s="10">
        <v>40533.425312499996</v>
      </c>
      <c r="Q144" s="15"/>
      <c r="R144" s="21" t="s">
        <v>446</v>
      </c>
      <c r="S144" s="16" t="s">
        <v>447</v>
      </c>
      <c r="T144" s="15"/>
      <c r="U144" s="14" t="str">
        <f>HYPERLINK("https://pbs.twimg.com/profile_images/691247658246246400/FLXNDfqx.jpg","View")</f>
        <v>View</v>
      </c>
    </row>
    <row r="145" spans="1:21" ht="50">
      <c r="A145" s="10">
        <v>43346.277268518519</v>
      </c>
      <c r="B145" s="11" t="str">
        <f>HYPERLINK("https://twitter.com/ElsaKPrice","@ElsaKPrice")</f>
        <v>@ElsaKPrice</v>
      </c>
      <c r="C145" s="12" t="s">
        <v>485</v>
      </c>
      <c r="D145" s="13" t="s">
        <v>486</v>
      </c>
      <c r="E145" s="14" t="str">
        <f>HYPERLINK("https://twitter.com/ElsaKPrice/status/1036609575204646912","1036609575204646912")</f>
        <v>1036609575204646912</v>
      </c>
      <c r="F145" s="15"/>
      <c r="G145" s="15"/>
      <c r="H145" s="15"/>
      <c r="I145" s="17">
        <v>7</v>
      </c>
      <c r="J145" s="17">
        <v>17</v>
      </c>
      <c r="K145" s="18" t="str">
        <f t="shared" ref="K145:K146" si="41">HYPERLINK("http://twitter.com/download/android","Twitter for Android")</f>
        <v>Twitter for Android</v>
      </c>
      <c r="L145" s="17">
        <v>148</v>
      </c>
      <c r="M145" s="17">
        <v>388</v>
      </c>
      <c r="N145" s="17">
        <v>0</v>
      </c>
      <c r="O145" s="19"/>
      <c r="P145" s="10">
        <v>42087.617326388892</v>
      </c>
      <c r="Q145" s="20" t="s">
        <v>487</v>
      </c>
      <c r="R145" s="21" t="s">
        <v>488</v>
      </c>
      <c r="S145" s="16" t="s">
        <v>489</v>
      </c>
      <c r="T145" s="15"/>
      <c r="U145" s="14" t="str">
        <f>HYPERLINK("https://pbs.twimg.com/profile_images/951949742954766336/8shV-chY.jpg","View")</f>
        <v>View</v>
      </c>
    </row>
    <row r="146" spans="1:21" ht="30">
      <c r="A146" s="10">
        <v>43346.276724537034</v>
      </c>
      <c r="B146" s="11" t="str">
        <f>HYPERLINK("https://twitter.com/arranjrees","@arranjrees")</f>
        <v>@arranjrees</v>
      </c>
      <c r="C146" s="12" t="s">
        <v>490</v>
      </c>
      <c r="D146" s="13" t="s">
        <v>491</v>
      </c>
      <c r="E146" s="14" t="str">
        <f>HYPERLINK("https://twitter.com/arranjrees/status/1036609376411443201","1036609376411443201")</f>
        <v>1036609376411443201</v>
      </c>
      <c r="F146" s="15"/>
      <c r="G146" s="16" t="s">
        <v>492</v>
      </c>
      <c r="H146" s="15"/>
      <c r="I146" s="17">
        <v>1</v>
      </c>
      <c r="J146" s="17">
        <v>14</v>
      </c>
      <c r="K146" s="18" t="str">
        <f t="shared" si="41"/>
        <v>Twitter for Android</v>
      </c>
      <c r="L146" s="17">
        <v>1717</v>
      </c>
      <c r="M146" s="17">
        <v>929</v>
      </c>
      <c r="N146" s="17">
        <v>32</v>
      </c>
      <c r="O146" s="19"/>
      <c r="P146" s="10">
        <v>40550.554884259262</v>
      </c>
      <c r="Q146" s="20" t="s">
        <v>458</v>
      </c>
      <c r="R146" s="21" t="s">
        <v>493</v>
      </c>
      <c r="S146" s="16" t="s">
        <v>494</v>
      </c>
      <c r="T146" s="15"/>
      <c r="U146" s="14" t="str">
        <f>HYPERLINK("https://pbs.twimg.com/profile_images/1027536161080860673/iP5ROxDR.jpg","View")</f>
        <v>View</v>
      </c>
    </row>
    <row r="147" spans="1:21" ht="30">
      <c r="A147" s="10">
        <v>43346.275648148148</v>
      </c>
      <c r="B147" s="11" t="str">
        <f>HYPERLINK("https://twitter.com/DafJames","@DafJames")</f>
        <v>@DafJames</v>
      </c>
      <c r="C147" s="12" t="s">
        <v>495</v>
      </c>
      <c r="D147" s="13" t="s">
        <v>496</v>
      </c>
      <c r="E147" s="14" t="str">
        <f>HYPERLINK("https://twitter.com/DafJames/status/1036608987138076673","1036608987138076673")</f>
        <v>1036608987138076673</v>
      </c>
      <c r="F147" s="15"/>
      <c r="G147" s="15"/>
      <c r="H147" s="15"/>
      <c r="I147" s="17">
        <v>1</v>
      </c>
      <c r="J147" s="17">
        <v>2</v>
      </c>
      <c r="K147" s="18" t="str">
        <f t="shared" ref="K147:K148" si="42">HYPERLINK("http://twitter.com/download/iphone","Twitter for iPhone")</f>
        <v>Twitter for iPhone</v>
      </c>
      <c r="L147" s="17">
        <v>1465</v>
      </c>
      <c r="M147" s="17">
        <v>827</v>
      </c>
      <c r="N147" s="17">
        <v>97</v>
      </c>
      <c r="O147" s="19"/>
      <c r="P147" s="10">
        <v>39563.101620370369</v>
      </c>
      <c r="Q147" s="20" t="s">
        <v>497</v>
      </c>
      <c r="R147" s="21" t="s">
        <v>498</v>
      </c>
      <c r="S147" s="16" t="s">
        <v>499</v>
      </c>
      <c r="T147" s="15"/>
      <c r="U147" s="14" t="str">
        <f>HYPERLINK("https://pbs.twimg.com/profile_images/648818685839339520/9m3OwoX-.png","View")</f>
        <v>View</v>
      </c>
    </row>
    <row r="148" spans="1:21" ht="50">
      <c r="A148" s="10">
        <v>43346.275254629625</v>
      </c>
      <c r="B148" s="11" t="str">
        <f>HYPERLINK("https://twitter.com/MarDixon","@MarDixon")</f>
        <v>@MarDixon</v>
      </c>
      <c r="C148" s="12" t="s">
        <v>317</v>
      </c>
      <c r="D148" s="13" t="s">
        <v>500</v>
      </c>
      <c r="E148" s="14" t="str">
        <f>HYPERLINK("https://twitter.com/MarDixon/status/1036608843776765952","1036608843776765952")</f>
        <v>1036608843776765952</v>
      </c>
      <c r="F148" s="15"/>
      <c r="G148" s="16" t="s">
        <v>501</v>
      </c>
      <c r="H148" s="15"/>
      <c r="I148" s="17">
        <v>2</v>
      </c>
      <c r="J148" s="17">
        <v>7</v>
      </c>
      <c r="K148" s="18" t="str">
        <f t="shared" si="42"/>
        <v>Twitter for iPhone</v>
      </c>
      <c r="L148" s="17">
        <v>18090</v>
      </c>
      <c r="M148" s="17">
        <v>8496</v>
      </c>
      <c r="N148" s="17">
        <v>993</v>
      </c>
      <c r="O148" s="23" t="s">
        <v>319</v>
      </c>
      <c r="P148" s="10">
        <v>39841.143726851849</v>
      </c>
      <c r="Q148" s="20" t="s">
        <v>320</v>
      </c>
      <c r="R148" s="21" t="s">
        <v>321</v>
      </c>
      <c r="S148" s="16" t="s">
        <v>322</v>
      </c>
      <c r="T148" s="15"/>
      <c r="U148" s="14" t="str">
        <f>HYPERLINK("https://pbs.twimg.com/profile_images/719436576632213504/zxGLw13d.jpg","View")</f>
        <v>View</v>
      </c>
    </row>
    <row r="149" spans="1:21" ht="30">
      <c r="A149" s="10">
        <v>43346.274849537032</v>
      </c>
      <c r="B149" s="11" t="str">
        <f>HYPERLINK("https://twitter.com/Sarah_DPC","@Sarah_DPC")</f>
        <v>@Sarah_DPC</v>
      </c>
      <c r="C149" s="12" t="s">
        <v>178</v>
      </c>
      <c r="D149" s="13" t="s">
        <v>502</v>
      </c>
      <c r="E149" s="14" t="str">
        <f>HYPERLINK("https://twitter.com/Sarah_DPC/status/1036608699576594432","1036608699576594432")</f>
        <v>1036608699576594432</v>
      </c>
      <c r="F149" s="15"/>
      <c r="G149" s="15"/>
      <c r="H149" s="15"/>
      <c r="I149" s="17">
        <v>3</v>
      </c>
      <c r="J149" s="17">
        <v>3</v>
      </c>
      <c r="K149" s="18" t="str">
        <f t="shared" ref="K149:K150" si="43">HYPERLINK("http://twitter.com/download/android","Twitter for Android")</f>
        <v>Twitter for Android</v>
      </c>
      <c r="L149" s="17">
        <v>1270</v>
      </c>
      <c r="M149" s="17">
        <v>715</v>
      </c>
      <c r="N149" s="17">
        <v>51</v>
      </c>
      <c r="O149" s="19"/>
      <c r="P149" s="10">
        <v>41373.188576388886</v>
      </c>
      <c r="Q149" s="20" t="s">
        <v>180</v>
      </c>
      <c r="R149" s="21" t="s">
        <v>181</v>
      </c>
      <c r="S149" s="16" t="s">
        <v>182</v>
      </c>
      <c r="T149" s="15"/>
      <c r="U149" s="14" t="str">
        <f>HYPERLINK("https://pbs.twimg.com/profile_images/867263862726434816/K2qoO6sD.jpg","View")</f>
        <v>View</v>
      </c>
    </row>
    <row r="150" spans="1:21" ht="40">
      <c r="A150" s="10">
        <v>43346.274479166663</v>
      </c>
      <c r="B150" s="11" t="str">
        <f>HYPERLINK("https://twitter.com/SLIPIreland","@SLIPIreland")</f>
        <v>@SLIPIreland</v>
      </c>
      <c r="C150" s="12" t="s">
        <v>161</v>
      </c>
      <c r="D150" s="13" t="s">
        <v>503</v>
      </c>
      <c r="E150" s="14" t="str">
        <f>HYPERLINK("https://twitter.com/SLIPIreland/status/1036608565753139201","1036608565753139201")</f>
        <v>1036608565753139201</v>
      </c>
      <c r="F150" s="16" t="s">
        <v>504</v>
      </c>
      <c r="G150" s="16" t="s">
        <v>505</v>
      </c>
      <c r="H150" s="15"/>
      <c r="I150" s="17">
        <v>1</v>
      </c>
      <c r="J150" s="17">
        <v>3</v>
      </c>
      <c r="K150" s="18" t="str">
        <f t="shared" si="43"/>
        <v>Twitter for Android</v>
      </c>
      <c r="L150" s="17">
        <v>943</v>
      </c>
      <c r="M150" s="17">
        <v>581</v>
      </c>
      <c r="N150" s="17">
        <v>43</v>
      </c>
      <c r="O150" s="19"/>
      <c r="P150" s="10">
        <v>42067.319490740745</v>
      </c>
      <c r="Q150" s="20" t="s">
        <v>164</v>
      </c>
      <c r="R150" s="21" t="s">
        <v>165</v>
      </c>
      <c r="S150" s="16" t="s">
        <v>166</v>
      </c>
      <c r="T150" s="15"/>
      <c r="U150" s="14" t="str">
        <f>HYPERLINK("https://pbs.twimg.com/profile_images/611647654574051328/YqIu3i2j.png","View")</f>
        <v>View</v>
      </c>
    </row>
    <row r="151" spans="1:21" ht="40">
      <c r="A151" s="10">
        <v>43346.273900462962</v>
      </c>
      <c r="B151" s="11" t="str">
        <f>HYPERLINK("https://twitter.com/julieallinson","@julieallinson")</f>
        <v>@julieallinson</v>
      </c>
      <c r="C151" s="12" t="s">
        <v>506</v>
      </c>
      <c r="D151" s="13" t="s">
        <v>507</v>
      </c>
      <c r="E151" s="14" t="str">
        <f>HYPERLINK("https://twitter.com/julieallinson/status/1036608355794673664","1036608355794673664")</f>
        <v>1036608355794673664</v>
      </c>
      <c r="F151" s="15"/>
      <c r="G151" s="15"/>
      <c r="H151" s="15"/>
      <c r="I151" s="17">
        <v>0</v>
      </c>
      <c r="J151" s="17">
        <v>7</v>
      </c>
      <c r="K151" s="18" t="str">
        <f>HYPERLINK("http://twitter.com","Twitter Web Client")</f>
        <v>Twitter Web Client</v>
      </c>
      <c r="L151" s="17">
        <v>499</v>
      </c>
      <c r="M151" s="17">
        <v>776</v>
      </c>
      <c r="N151" s="17">
        <v>37</v>
      </c>
      <c r="O151" s="19"/>
      <c r="P151" s="10">
        <v>39712.606724537036</v>
      </c>
      <c r="Q151" s="20" t="s">
        <v>508</v>
      </c>
      <c r="R151" s="21" t="s">
        <v>509</v>
      </c>
      <c r="S151" s="15"/>
      <c r="T151" s="15"/>
      <c r="U151" s="14" t="str">
        <f>HYPERLINK("https://pbs.twimg.com/profile_images/884827107796418560/Ro9BPOkz.jpg","View")</f>
        <v>View</v>
      </c>
    </row>
    <row r="152" spans="1:21" ht="40">
      <c r="A152" s="10">
        <v>43346.273576388892</v>
      </c>
      <c r="B152" s="11" t="str">
        <f>HYPERLINK("https://twitter.com/Sarah_DPC","@Sarah_DPC")</f>
        <v>@Sarah_DPC</v>
      </c>
      <c r="C152" s="12" t="s">
        <v>178</v>
      </c>
      <c r="D152" s="13" t="s">
        <v>510</v>
      </c>
      <c r="E152" s="14" t="str">
        <f>HYPERLINK("https://twitter.com/Sarah_DPC/status/1036608235535577088","1036608235535577088")</f>
        <v>1036608235535577088</v>
      </c>
      <c r="F152" s="15"/>
      <c r="G152" s="15"/>
      <c r="H152" s="15"/>
      <c r="I152" s="17">
        <v>1</v>
      </c>
      <c r="J152" s="17">
        <v>1</v>
      </c>
      <c r="K152" s="18" t="str">
        <f>HYPERLINK("http://twitter.com/download/android","Twitter for Android")</f>
        <v>Twitter for Android</v>
      </c>
      <c r="L152" s="17">
        <v>1270</v>
      </c>
      <c r="M152" s="17">
        <v>715</v>
      </c>
      <c r="N152" s="17">
        <v>51</v>
      </c>
      <c r="O152" s="19"/>
      <c r="P152" s="10">
        <v>41373.188576388886</v>
      </c>
      <c r="Q152" s="20" t="s">
        <v>180</v>
      </c>
      <c r="R152" s="21" t="s">
        <v>181</v>
      </c>
      <c r="S152" s="16" t="s">
        <v>182</v>
      </c>
      <c r="T152" s="15"/>
      <c r="U152" s="14" t="str">
        <f>HYPERLINK("https://pbs.twimg.com/profile_images/867263862726434816/K2qoO6sD.jpg","View")</f>
        <v>View</v>
      </c>
    </row>
    <row r="153" spans="1:21" ht="40">
      <c r="A153" s="10">
        <v>43346.273009259261</v>
      </c>
      <c r="B153" s="11" t="str">
        <f>HYPERLINK("https://twitter.com/HLFLondon","@HLFLondon")</f>
        <v>@HLFLondon</v>
      </c>
      <c r="C153" s="12" t="s">
        <v>54</v>
      </c>
      <c r="D153" s="13" t="s">
        <v>511</v>
      </c>
      <c r="E153" s="14" t="str">
        <f>HYPERLINK("https://twitter.com/HLFLondon/status/1036608030333431808","1036608030333431808")</f>
        <v>1036608030333431808</v>
      </c>
      <c r="F153" s="15"/>
      <c r="G153" s="15"/>
      <c r="H153" s="15"/>
      <c r="I153" s="17">
        <v>4</v>
      </c>
      <c r="J153" s="17">
        <v>5</v>
      </c>
      <c r="K153" s="18" t="str">
        <f>HYPERLINK("http://twitter.com/download/iphone","Twitter for iPhone")</f>
        <v>Twitter for iPhone</v>
      </c>
      <c r="L153" s="17">
        <v>3962</v>
      </c>
      <c r="M153" s="17">
        <v>1516</v>
      </c>
      <c r="N153" s="17">
        <v>74</v>
      </c>
      <c r="O153" s="19"/>
      <c r="P153" s="10">
        <v>41442.105706018519</v>
      </c>
      <c r="Q153" s="20" t="s">
        <v>56</v>
      </c>
      <c r="R153" s="21" t="s">
        <v>57</v>
      </c>
      <c r="S153" s="16" t="s">
        <v>58</v>
      </c>
      <c r="T153" s="15"/>
      <c r="U153" s="14" t="str">
        <f>HYPERLINK("https://pbs.twimg.com/profile_images/694839380582764544/6N71IZbb.jpg","View")</f>
        <v>View</v>
      </c>
    </row>
    <row r="154" spans="1:21" ht="40">
      <c r="A154" s="10">
        <v>43346.272199074076</v>
      </c>
      <c r="B154" s="11" t="str">
        <f>HYPERLINK("https://twitter.com/Sarah_DPC","@Sarah_DPC")</f>
        <v>@Sarah_DPC</v>
      </c>
      <c r="C154" s="12" t="s">
        <v>178</v>
      </c>
      <c r="D154" s="13" t="s">
        <v>512</v>
      </c>
      <c r="E154" s="14" t="str">
        <f>HYPERLINK("https://twitter.com/Sarah_DPC/status/1036607736308482048","1036607736308482048")</f>
        <v>1036607736308482048</v>
      </c>
      <c r="F154" s="15"/>
      <c r="G154" s="15"/>
      <c r="H154" s="15"/>
      <c r="I154" s="17">
        <v>1</v>
      </c>
      <c r="J154" s="17">
        <v>1</v>
      </c>
      <c r="K154" s="18" t="str">
        <f>HYPERLINK("http://twitter.com/download/android","Twitter for Android")</f>
        <v>Twitter for Android</v>
      </c>
      <c r="L154" s="17">
        <v>1270</v>
      </c>
      <c r="M154" s="17">
        <v>715</v>
      </c>
      <c r="N154" s="17">
        <v>51</v>
      </c>
      <c r="O154" s="19"/>
      <c r="P154" s="10">
        <v>41373.188576388886</v>
      </c>
      <c r="Q154" s="20" t="s">
        <v>180</v>
      </c>
      <c r="R154" s="21" t="s">
        <v>181</v>
      </c>
      <c r="S154" s="16" t="s">
        <v>182</v>
      </c>
      <c r="T154" s="15"/>
      <c r="U154" s="14" t="str">
        <f>HYPERLINK("https://pbs.twimg.com/profile_images/867263862726434816/K2qoO6sD.jpg","View")</f>
        <v>View</v>
      </c>
    </row>
    <row r="155" spans="1:21" ht="40">
      <c r="A155" s="10">
        <v>43346.272164351853</v>
      </c>
      <c r="B155" s="11" t="str">
        <f>HYPERLINK("https://twitter.com/WilliamKilbride","@WilliamKilbride")</f>
        <v>@WilliamKilbride</v>
      </c>
      <c r="C155" s="12" t="s">
        <v>49</v>
      </c>
      <c r="D155" s="13" t="s">
        <v>513</v>
      </c>
      <c r="E155" s="14" t="str">
        <f>HYPERLINK("https://twitter.com/WilliamKilbride/status/1036607726309310466","1036607726309310466")</f>
        <v>1036607726309310466</v>
      </c>
      <c r="F155" s="15"/>
      <c r="G155" s="15"/>
      <c r="H155" s="15"/>
      <c r="I155" s="17">
        <v>2</v>
      </c>
      <c r="J155" s="17">
        <v>4</v>
      </c>
      <c r="K155" s="18" t="str">
        <f>HYPERLINK("https://about.twitter.com/products/tweetdeck","TweetDeck")</f>
        <v>TweetDeck</v>
      </c>
      <c r="L155" s="17">
        <v>3065</v>
      </c>
      <c r="M155" s="17">
        <v>582</v>
      </c>
      <c r="N155" s="17">
        <v>180</v>
      </c>
      <c r="O155" s="19"/>
      <c r="P155" s="10">
        <v>39917.310949074075</v>
      </c>
      <c r="Q155" s="20" t="s">
        <v>51</v>
      </c>
      <c r="R155" s="21" t="s">
        <v>52</v>
      </c>
      <c r="S155" s="16" t="s">
        <v>53</v>
      </c>
      <c r="T155" s="15"/>
      <c r="U155" s="14" t="str">
        <f>HYPERLINK("https://pbs.twimg.com/profile_images/606802634499080192/ZWLKLGdh.png","View")</f>
        <v>View</v>
      </c>
    </row>
    <row r="156" spans="1:21" ht="40">
      <c r="A156" s="10">
        <v>43346.271886574075</v>
      </c>
      <c r="B156" s="11" t="str">
        <f>HYPERLINK("https://twitter.com/mirrorweb","@mirrorweb")</f>
        <v>@mirrorweb</v>
      </c>
      <c r="C156" s="12" t="s">
        <v>514</v>
      </c>
      <c r="D156" s="13" t="s">
        <v>515</v>
      </c>
      <c r="E156" s="14" t="str">
        <f>HYPERLINK("https://twitter.com/mirrorweb/status/1036607623284617216","1036607623284617216")</f>
        <v>1036607623284617216</v>
      </c>
      <c r="F156" s="15"/>
      <c r="G156" s="16" t="s">
        <v>516</v>
      </c>
      <c r="H156" s="15"/>
      <c r="I156" s="17">
        <v>1</v>
      </c>
      <c r="J156" s="17">
        <v>3</v>
      </c>
      <c r="K156" s="18" t="str">
        <f>HYPERLINK("http://twitter.com","Twitter Web Client")</f>
        <v>Twitter Web Client</v>
      </c>
      <c r="L156" s="17">
        <v>314</v>
      </c>
      <c r="M156" s="17">
        <v>205</v>
      </c>
      <c r="N156" s="17">
        <v>12</v>
      </c>
      <c r="O156" s="19"/>
      <c r="P156" s="10">
        <v>40989.079467592594</v>
      </c>
      <c r="Q156" s="20" t="s">
        <v>517</v>
      </c>
      <c r="R156" s="21" t="s">
        <v>518</v>
      </c>
      <c r="S156" s="16" t="s">
        <v>519</v>
      </c>
      <c r="T156" s="15"/>
      <c r="U156" s="14" t="str">
        <f>HYPERLINK("https://pbs.twimg.com/profile_images/923585489688563713/iN-U1XNO.jpg","View")</f>
        <v>View</v>
      </c>
    </row>
    <row r="157" spans="1:21" ht="40">
      <c r="A157" s="10">
        <v>43346.271851851852</v>
      </c>
      <c r="B157" s="11" t="str">
        <f>HYPERLINK("https://twitter.com/digitalpunctum","@digitalpunctum")</f>
        <v>@digitalpunctum</v>
      </c>
      <c r="C157" s="12" t="s">
        <v>122</v>
      </c>
      <c r="D157" s="13" t="s">
        <v>520</v>
      </c>
      <c r="E157" s="14" t="str">
        <f>HYPERLINK("https://twitter.com/digitalpunctum/status/1036607611393777664","1036607611393777664")</f>
        <v>1036607611393777664</v>
      </c>
      <c r="F157" s="15"/>
      <c r="G157" s="16" t="s">
        <v>521</v>
      </c>
      <c r="H157" s="15"/>
      <c r="I157" s="17">
        <v>1</v>
      </c>
      <c r="J157" s="17">
        <v>2</v>
      </c>
      <c r="K157" s="18" t="str">
        <f>HYPERLINK("https://mobile.twitter.com","Twitter Lite")</f>
        <v>Twitter Lite</v>
      </c>
      <c r="L157" s="17">
        <v>208</v>
      </c>
      <c r="M157" s="17">
        <v>579</v>
      </c>
      <c r="N157" s="17">
        <v>2</v>
      </c>
      <c r="O157" s="19"/>
      <c r="P157" s="10">
        <v>43192.546041666668</v>
      </c>
      <c r="Q157" s="15"/>
      <c r="R157" s="21" t="s">
        <v>125</v>
      </c>
      <c r="S157" s="15"/>
      <c r="T157" s="15"/>
      <c r="U157" s="14" t="str">
        <f>HYPERLINK("https://pbs.twimg.com/profile_images/991669288556785664/stw8Ki5o.jpg","View")</f>
        <v>View</v>
      </c>
    </row>
    <row r="158" spans="1:21" ht="30">
      <c r="A158" s="10">
        <v>43346.271655092598</v>
      </c>
      <c r="B158" s="11" t="str">
        <f>HYPERLINK("https://twitter.com/CaylinSSmith","@CaylinSSmith")</f>
        <v>@CaylinSSmith</v>
      </c>
      <c r="C158" s="12" t="s">
        <v>204</v>
      </c>
      <c r="D158" s="13" t="s">
        <v>522</v>
      </c>
      <c r="E158" s="14" t="str">
        <f>HYPERLINK("https://twitter.com/CaylinSSmith/status/1036607541084659715","1036607541084659715")</f>
        <v>1036607541084659715</v>
      </c>
      <c r="F158" s="15"/>
      <c r="G158" s="15"/>
      <c r="H158" s="15"/>
      <c r="I158" s="17">
        <v>1</v>
      </c>
      <c r="J158" s="17">
        <v>2</v>
      </c>
      <c r="K158" s="18" t="str">
        <f>HYPERLINK("http://twitter.com/download/android","Twitter for Android")</f>
        <v>Twitter for Android</v>
      </c>
      <c r="L158" s="17">
        <v>1013</v>
      </c>
      <c r="M158" s="17">
        <v>2629</v>
      </c>
      <c r="N158" s="17">
        <v>68</v>
      </c>
      <c r="O158" s="19"/>
      <c r="P158" s="10">
        <v>40376.763761574075</v>
      </c>
      <c r="Q158" s="20" t="s">
        <v>206</v>
      </c>
      <c r="R158" s="21" t="s">
        <v>207</v>
      </c>
      <c r="S158" s="16" t="s">
        <v>208</v>
      </c>
      <c r="T158" s="15"/>
      <c r="U158" s="14" t="str">
        <f>HYPERLINK("https://pbs.twimg.com/profile_images/1027591872028524545/k9Xatqj3.jpg","View")</f>
        <v>View</v>
      </c>
    </row>
    <row r="159" spans="1:21" ht="30">
      <c r="A159" s="10">
        <v>43346.271250000005</v>
      </c>
      <c r="B159" s="11" t="str">
        <f>HYPERLINK("https://twitter.com/DafJames","@DafJames")</f>
        <v>@DafJames</v>
      </c>
      <c r="C159" s="12" t="s">
        <v>495</v>
      </c>
      <c r="D159" s="13" t="s">
        <v>523</v>
      </c>
      <c r="E159" s="14" t="str">
        <f>HYPERLINK("https://twitter.com/DafJames/status/1036607391754805248","1036607391754805248")</f>
        <v>1036607391754805248</v>
      </c>
      <c r="F159" s="15"/>
      <c r="G159" s="15"/>
      <c r="H159" s="15"/>
      <c r="I159" s="17">
        <v>0</v>
      </c>
      <c r="J159" s="17">
        <v>1</v>
      </c>
      <c r="K159" s="18" t="str">
        <f>HYPERLINK("http://twitter.com/download/iphone","Twitter for iPhone")</f>
        <v>Twitter for iPhone</v>
      </c>
      <c r="L159" s="17">
        <v>1465</v>
      </c>
      <c r="M159" s="17">
        <v>827</v>
      </c>
      <c r="N159" s="17">
        <v>97</v>
      </c>
      <c r="O159" s="19"/>
      <c r="P159" s="10">
        <v>39563.101620370369</v>
      </c>
      <c r="Q159" s="20" t="s">
        <v>497</v>
      </c>
      <c r="R159" s="21" t="s">
        <v>498</v>
      </c>
      <c r="S159" s="16" t="s">
        <v>499</v>
      </c>
      <c r="T159" s="15"/>
      <c r="U159" s="14" t="str">
        <f>HYPERLINK("https://pbs.twimg.com/profile_images/648818685839339520/9m3OwoX-.png","View")</f>
        <v>View</v>
      </c>
    </row>
    <row r="160" spans="1:21" ht="40">
      <c r="A160" s="10">
        <v>43346.270879629628</v>
      </c>
      <c r="B160" s="11" t="str">
        <f>HYPERLINK("https://twitter.com/Sarah_DPC","@Sarah_DPC")</f>
        <v>@Sarah_DPC</v>
      </c>
      <c r="C160" s="12" t="s">
        <v>178</v>
      </c>
      <c r="D160" s="13" t="s">
        <v>524</v>
      </c>
      <c r="E160" s="14" t="str">
        <f>HYPERLINK("https://twitter.com/Sarah_DPC/status/1036607260154384389","1036607260154384389")</f>
        <v>1036607260154384389</v>
      </c>
      <c r="F160" s="15"/>
      <c r="G160" s="15"/>
      <c r="H160" s="15"/>
      <c r="I160" s="17">
        <v>1</v>
      </c>
      <c r="J160" s="17">
        <v>2</v>
      </c>
      <c r="K160" s="18" t="str">
        <f t="shared" ref="K160:K163" si="44">HYPERLINK("http://twitter.com/download/android","Twitter for Android")</f>
        <v>Twitter for Android</v>
      </c>
      <c r="L160" s="17">
        <v>1270</v>
      </c>
      <c r="M160" s="17">
        <v>715</v>
      </c>
      <c r="N160" s="17">
        <v>51</v>
      </c>
      <c r="O160" s="19"/>
      <c r="P160" s="10">
        <v>41373.188576388886</v>
      </c>
      <c r="Q160" s="20" t="s">
        <v>180</v>
      </c>
      <c r="R160" s="21" t="s">
        <v>181</v>
      </c>
      <c r="S160" s="16" t="s">
        <v>182</v>
      </c>
      <c r="T160" s="15"/>
      <c r="U160" s="14" t="str">
        <f>HYPERLINK("https://pbs.twimg.com/profile_images/867263862726434816/K2qoO6sD.jpg","View")</f>
        <v>View</v>
      </c>
    </row>
    <row r="161" spans="1:21" ht="30">
      <c r="A161" s="10">
        <v>43346.270578703705</v>
      </c>
      <c r="B161" s="11" t="str">
        <f>HYPERLINK("https://twitter.com/CaylinSSmith","@CaylinSSmith")</f>
        <v>@CaylinSSmith</v>
      </c>
      <c r="C161" s="12" t="s">
        <v>204</v>
      </c>
      <c r="D161" s="13" t="s">
        <v>525</v>
      </c>
      <c r="E161" s="14" t="str">
        <f>HYPERLINK("https://twitter.com/CaylinSSmith/status/1036607149059792896","1036607149059792896")</f>
        <v>1036607149059792896</v>
      </c>
      <c r="F161" s="15"/>
      <c r="G161" s="16" t="s">
        <v>526</v>
      </c>
      <c r="H161" s="15"/>
      <c r="I161" s="17">
        <v>2</v>
      </c>
      <c r="J161" s="17">
        <v>3</v>
      </c>
      <c r="K161" s="18" t="str">
        <f t="shared" si="44"/>
        <v>Twitter for Android</v>
      </c>
      <c r="L161" s="17">
        <v>1013</v>
      </c>
      <c r="M161" s="17">
        <v>2629</v>
      </c>
      <c r="N161" s="17">
        <v>68</v>
      </c>
      <c r="O161" s="19"/>
      <c r="P161" s="10">
        <v>40376.763761574075</v>
      </c>
      <c r="Q161" s="20" t="s">
        <v>206</v>
      </c>
      <c r="R161" s="21" t="s">
        <v>207</v>
      </c>
      <c r="S161" s="16" t="s">
        <v>208</v>
      </c>
      <c r="T161" s="15"/>
      <c r="U161" s="14" t="str">
        <f>HYPERLINK("https://pbs.twimg.com/profile_images/1027591872028524545/k9Xatqj3.jpg","View")</f>
        <v>View</v>
      </c>
    </row>
    <row r="162" spans="1:21" ht="40">
      <c r="A162" s="10">
        <v>43346.270254629635</v>
      </c>
      <c r="B162" s="11" t="str">
        <f>HYPERLINK("https://twitter.com/HannahWinn3","@HannahWinn3")</f>
        <v>@HannahWinn3</v>
      </c>
      <c r="C162" s="12" t="s">
        <v>410</v>
      </c>
      <c r="D162" s="13" t="s">
        <v>527</v>
      </c>
      <c r="E162" s="14" t="str">
        <f>HYPERLINK("https://twitter.com/HannahWinn3/status/1036607031170531328","1036607031170531328")</f>
        <v>1036607031170531328</v>
      </c>
      <c r="F162" s="15"/>
      <c r="G162" s="16" t="s">
        <v>528</v>
      </c>
      <c r="H162" s="15"/>
      <c r="I162" s="17">
        <v>3</v>
      </c>
      <c r="J162" s="17">
        <v>3</v>
      </c>
      <c r="K162" s="18" t="str">
        <f t="shared" si="44"/>
        <v>Twitter for Android</v>
      </c>
      <c r="L162" s="17">
        <v>131</v>
      </c>
      <c r="M162" s="17">
        <v>475</v>
      </c>
      <c r="N162" s="17">
        <v>0</v>
      </c>
      <c r="O162" s="19"/>
      <c r="P162" s="10">
        <v>41544.526203703703</v>
      </c>
      <c r="Q162" s="20" t="s">
        <v>413</v>
      </c>
      <c r="R162" s="21" t="s">
        <v>414</v>
      </c>
      <c r="S162" s="15"/>
      <c r="T162" s="15"/>
      <c r="U162" s="14" t="str">
        <f>HYPERLINK("https://pbs.twimg.com/profile_images/1025766857708646402/dDkC78I9.jpg","View")</f>
        <v>View</v>
      </c>
    </row>
    <row r="163" spans="1:21" ht="30">
      <c r="A163" s="10">
        <v>43346.269918981481</v>
      </c>
      <c r="B163" s="11" t="str">
        <f>HYPERLINK("https://twitter.com/Sarah_DPC","@Sarah_DPC")</f>
        <v>@Sarah_DPC</v>
      </c>
      <c r="C163" s="12" t="s">
        <v>178</v>
      </c>
      <c r="D163" s="13" t="s">
        <v>529</v>
      </c>
      <c r="E163" s="14" t="str">
        <f>HYPERLINK("https://twitter.com/Sarah_DPC/status/1036606909816741888","1036606909816741888")</f>
        <v>1036606909816741888</v>
      </c>
      <c r="F163" s="15"/>
      <c r="G163" s="15"/>
      <c r="H163" s="15"/>
      <c r="I163" s="17">
        <v>1</v>
      </c>
      <c r="J163" s="17">
        <v>1</v>
      </c>
      <c r="K163" s="18" t="str">
        <f t="shared" si="44"/>
        <v>Twitter for Android</v>
      </c>
      <c r="L163" s="17">
        <v>1270</v>
      </c>
      <c r="M163" s="17">
        <v>715</v>
      </c>
      <c r="N163" s="17">
        <v>51</v>
      </c>
      <c r="O163" s="19"/>
      <c r="P163" s="10">
        <v>41373.188576388886</v>
      </c>
      <c r="Q163" s="20" t="s">
        <v>180</v>
      </c>
      <c r="R163" s="21" t="s">
        <v>181</v>
      </c>
      <c r="S163" s="16" t="s">
        <v>182</v>
      </c>
      <c r="T163" s="15"/>
      <c r="U163" s="14" t="str">
        <f>HYPERLINK("https://pbs.twimg.com/profile_images/867263862726434816/K2qoO6sD.jpg","View")</f>
        <v>View</v>
      </c>
    </row>
    <row r="164" spans="1:21" ht="40">
      <c r="A164" s="10">
        <v>43346.269652777773</v>
      </c>
      <c r="B164" s="11" t="str">
        <f>HYPERLINK("https://twitter.com/MariaEcoGl","@MariaEcoGl")</f>
        <v>@MariaEcoGl</v>
      </c>
      <c r="C164" s="12" t="s">
        <v>304</v>
      </c>
      <c r="D164" s="13" t="s">
        <v>530</v>
      </c>
      <c r="E164" s="14" t="str">
        <f>HYPERLINK("https://twitter.com/MariaEcoGl/status/1036606815411359744","1036606815411359744")</f>
        <v>1036606815411359744</v>
      </c>
      <c r="F164" s="15"/>
      <c r="G164" s="15"/>
      <c r="H164" s="15"/>
      <c r="I164" s="17">
        <v>1</v>
      </c>
      <c r="J164" s="17">
        <v>4</v>
      </c>
      <c r="K164" s="18" t="str">
        <f>HYPERLINK("http://twitter.com/download/iphone","Twitter for iPhone")</f>
        <v>Twitter for iPhone</v>
      </c>
      <c r="L164" s="17">
        <v>1479</v>
      </c>
      <c r="M164" s="17">
        <v>2085</v>
      </c>
      <c r="N164" s="17">
        <v>43</v>
      </c>
      <c r="O164" s="19"/>
      <c r="P164" s="10">
        <v>41611.245787037034</v>
      </c>
      <c r="Q164" s="20" t="s">
        <v>307</v>
      </c>
      <c r="R164" s="21" t="s">
        <v>308</v>
      </c>
      <c r="S164" s="16" t="s">
        <v>309</v>
      </c>
      <c r="T164" s="15"/>
      <c r="U164" s="14" t="str">
        <f>HYPERLINK("https://pbs.twimg.com/profile_images/600251605141692416/YeaqAIJB.png","View")</f>
        <v>View</v>
      </c>
    </row>
    <row r="165" spans="1:21" ht="40">
      <c r="A165" s="10">
        <v>43346.269537037035</v>
      </c>
      <c r="B165" s="11" t="str">
        <f>HYPERLINK("https://twitter.com/natalieharrower","@natalieharrower")</f>
        <v>@natalieharrower</v>
      </c>
      <c r="C165" s="12" t="s">
        <v>59</v>
      </c>
      <c r="D165" s="13" t="s">
        <v>531</v>
      </c>
      <c r="E165" s="14" t="str">
        <f>HYPERLINK("https://twitter.com/natalieharrower/status/1036606771425619969","1036606771425619969")</f>
        <v>1036606771425619969</v>
      </c>
      <c r="F165" s="15"/>
      <c r="G165" s="15"/>
      <c r="H165" s="15"/>
      <c r="I165" s="17">
        <v>2</v>
      </c>
      <c r="J165" s="17">
        <v>4</v>
      </c>
      <c r="K165" s="18" t="str">
        <f>HYPERLINK("http://twitter.com","Twitter Web Client")</f>
        <v>Twitter Web Client</v>
      </c>
      <c r="L165" s="17">
        <v>2422</v>
      </c>
      <c r="M165" s="17">
        <v>2344</v>
      </c>
      <c r="N165" s="17">
        <v>164</v>
      </c>
      <c r="O165" s="19"/>
      <c r="P165" s="10">
        <v>39751.545844907407</v>
      </c>
      <c r="Q165" s="20" t="s">
        <v>61</v>
      </c>
      <c r="R165" s="21" t="s">
        <v>62</v>
      </c>
      <c r="S165" s="16" t="s">
        <v>63</v>
      </c>
      <c r="T165" s="15"/>
      <c r="U165" s="14" t="str">
        <f>HYPERLINK("https://pbs.twimg.com/profile_images/992918977172000769/pPUq69N4.jpg","View")</f>
        <v>View</v>
      </c>
    </row>
    <row r="166" spans="1:21" ht="30">
      <c r="A166" s="10">
        <v>43346.269502314812</v>
      </c>
      <c r="B166" s="11" t="str">
        <f>HYPERLINK("https://twitter.com/dri_ireland","@dri_ireland")</f>
        <v>@dri_ireland</v>
      </c>
      <c r="C166" s="12" t="s">
        <v>197</v>
      </c>
      <c r="D166" s="13" t="s">
        <v>532</v>
      </c>
      <c r="E166" s="14" t="str">
        <f>HYPERLINK("https://twitter.com/dri_ireland/status/1036606759887155200","1036606759887155200")</f>
        <v>1036606759887155200</v>
      </c>
      <c r="F166" s="15"/>
      <c r="G166" s="16" t="s">
        <v>533</v>
      </c>
      <c r="H166" s="15"/>
      <c r="I166" s="17">
        <v>1</v>
      </c>
      <c r="J166" s="17">
        <v>5</v>
      </c>
      <c r="K166" s="18" t="str">
        <f t="shared" ref="K166:K167" si="45">HYPERLINK("http://twitter.com/download/android","Twitter for Android")</f>
        <v>Twitter for Android</v>
      </c>
      <c r="L166" s="17">
        <v>6134</v>
      </c>
      <c r="M166" s="17">
        <v>1732</v>
      </c>
      <c r="N166" s="17">
        <v>249</v>
      </c>
      <c r="O166" s="19"/>
      <c r="P166" s="10">
        <v>41172.215312500004</v>
      </c>
      <c r="Q166" s="20" t="s">
        <v>200</v>
      </c>
      <c r="R166" s="21" t="s">
        <v>201</v>
      </c>
      <c r="S166" s="16" t="s">
        <v>202</v>
      </c>
      <c r="T166" s="15"/>
      <c r="U166" s="14" t="str">
        <f>HYPERLINK("https://pbs.twimg.com/profile_images/603126975268581376/cGZW7aU3.jpg","View")</f>
        <v>View</v>
      </c>
    </row>
    <row r="167" spans="1:21" ht="30">
      <c r="A167" s="10">
        <v>43346.269004629634</v>
      </c>
      <c r="B167" s="11" t="str">
        <f>HYPERLINK("https://twitter.com/Sarah_DPC","@Sarah_DPC")</f>
        <v>@Sarah_DPC</v>
      </c>
      <c r="C167" s="12" t="s">
        <v>178</v>
      </c>
      <c r="D167" s="13" t="s">
        <v>534</v>
      </c>
      <c r="E167" s="14" t="str">
        <f>HYPERLINK("https://twitter.com/Sarah_DPC/status/1036606580211568640","1036606580211568640")</f>
        <v>1036606580211568640</v>
      </c>
      <c r="F167" s="15"/>
      <c r="G167" s="15"/>
      <c r="H167" s="15"/>
      <c r="I167" s="17">
        <v>1</v>
      </c>
      <c r="J167" s="17">
        <v>1</v>
      </c>
      <c r="K167" s="18" t="str">
        <f t="shared" si="45"/>
        <v>Twitter for Android</v>
      </c>
      <c r="L167" s="17">
        <v>1270</v>
      </c>
      <c r="M167" s="17">
        <v>715</v>
      </c>
      <c r="N167" s="17">
        <v>51</v>
      </c>
      <c r="O167" s="19"/>
      <c r="P167" s="10">
        <v>41373.188576388886</v>
      </c>
      <c r="Q167" s="20" t="s">
        <v>180</v>
      </c>
      <c r="R167" s="21" t="s">
        <v>181</v>
      </c>
      <c r="S167" s="16" t="s">
        <v>182</v>
      </c>
      <c r="T167" s="15"/>
      <c r="U167" s="14" t="str">
        <f>HYPERLINK("https://pbs.twimg.com/profile_images/867263862726434816/K2qoO6sD.jpg","View")</f>
        <v>View</v>
      </c>
    </row>
    <row r="168" spans="1:21" ht="40">
      <c r="A168" s="10">
        <v>43346.268495370372</v>
      </c>
      <c r="B168" s="11" t="str">
        <f>HYPERLINK("https://twitter.com/julieallinson","@julieallinson")</f>
        <v>@julieallinson</v>
      </c>
      <c r="C168" s="12" t="s">
        <v>506</v>
      </c>
      <c r="D168" s="13" t="s">
        <v>535</v>
      </c>
      <c r="E168" s="14" t="str">
        <f>HYPERLINK("https://twitter.com/julieallinson/status/1036606396333268992","1036606396333268992")</f>
        <v>1036606396333268992</v>
      </c>
      <c r="F168" s="15"/>
      <c r="G168" s="15"/>
      <c r="H168" s="15"/>
      <c r="I168" s="17">
        <v>0</v>
      </c>
      <c r="J168" s="17">
        <v>2</v>
      </c>
      <c r="K168" s="18" t="str">
        <f>HYPERLINK("http://twitter.com","Twitter Web Client")</f>
        <v>Twitter Web Client</v>
      </c>
      <c r="L168" s="17">
        <v>499</v>
      </c>
      <c r="M168" s="17">
        <v>776</v>
      </c>
      <c r="N168" s="17">
        <v>37</v>
      </c>
      <c r="O168" s="19"/>
      <c r="P168" s="10">
        <v>39712.606724537036</v>
      </c>
      <c r="Q168" s="20" t="s">
        <v>508</v>
      </c>
      <c r="R168" s="21" t="s">
        <v>509</v>
      </c>
      <c r="S168" s="15"/>
      <c r="T168" s="15"/>
      <c r="U168" s="14" t="str">
        <f>HYPERLINK("https://pbs.twimg.com/profile_images/884827107796418560/Ro9BPOkz.jpg","View")</f>
        <v>View</v>
      </c>
    </row>
    <row r="169" spans="1:21" ht="40">
      <c r="A169" s="10">
        <v>43346.268182870372</v>
      </c>
      <c r="B169" s="11" t="str">
        <f>HYPERLINK("https://twitter.com/CKamposiori","@CKamposiori")</f>
        <v>@CKamposiori</v>
      </c>
      <c r="C169" s="12" t="s">
        <v>218</v>
      </c>
      <c r="D169" s="13" t="s">
        <v>536</v>
      </c>
      <c r="E169" s="14" t="str">
        <f>HYPERLINK("https://twitter.com/CKamposiori/status/1036606283485536262","1036606283485536262")</f>
        <v>1036606283485536262</v>
      </c>
      <c r="F169" s="15"/>
      <c r="G169" s="15"/>
      <c r="H169" s="15"/>
      <c r="I169" s="17">
        <v>0</v>
      </c>
      <c r="J169" s="17">
        <v>1</v>
      </c>
      <c r="K169" s="18" t="str">
        <f>HYPERLINK("http://twitter.com/download/android","Twitter for Android")</f>
        <v>Twitter for Android</v>
      </c>
      <c r="L169" s="17">
        <v>1025</v>
      </c>
      <c r="M169" s="17">
        <v>1024</v>
      </c>
      <c r="N169" s="17">
        <v>62</v>
      </c>
      <c r="O169" s="19"/>
      <c r="P169" s="10">
        <v>41035.594293981485</v>
      </c>
      <c r="Q169" s="20" t="s">
        <v>220</v>
      </c>
      <c r="R169" s="21" t="s">
        <v>221</v>
      </c>
      <c r="S169" s="15"/>
      <c r="T169" s="15"/>
      <c r="U169" s="14" t="str">
        <f>HYPERLINK("https://pbs.twimg.com/profile_images/512669996871208960/UyoWDxT7.jpeg","View")</f>
        <v>View</v>
      </c>
    </row>
    <row r="170" spans="1:21" ht="30">
      <c r="A170" s="10">
        <v>43346.268159722225</v>
      </c>
      <c r="B170" s="11" t="str">
        <f>HYPERLINK("https://twitter.com/DafJames","@DafJames")</f>
        <v>@DafJames</v>
      </c>
      <c r="C170" s="12" t="s">
        <v>495</v>
      </c>
      <c r="D170" s="13" t="s">
        <v>537</v>
      </c>
      <c r="E170" s="14" t="str">
        <f>HYPERLINK("https://twitter.com/DafJames/status/1036606274719428608","1036606274719428608")</f>
        <v>1036606274719428608</v>
      </c>
      <c r="F170" s="15"/>
      <c r="G170" s="15"/>
      <c r="H170" s="15"/>
      <c r="I170" s="17">
        <v>1</v>
      </c>
      <c r="J170" s="17">
        <v>0</v>
      </c>
      <c r="K170" s="18" t="str">
        <f>HYPERLINK("http://twitter.com/download/iphone","Twitter for iPhone")</f>
        <v>Twitter for iPhone</v>
      </c>
      <c r="L170" s="17">
        <v>1465</v>
      </c>
      <c r="M170" s="17">
        <v>827</v>
      </c>
      <c r="N170" s="17">
        <v>97</v>
      </c>
      <c r="O170" s="19"/>
      <c r="P170" s="10">
        <v>39563.101620370369</v>
      </c>
      <c r="Q170" s="20" t="s">
        <v>497</v>
      </c>
      <c r="R170" s="21" t="s">
        <v>498</v>
      </c>
      <c r="S170" s="16" t="s">
        <v>499</v>
      </c>
      <c r="T170" s="15"/>
      <c r="U170" s="14" t="str">
        <f>HYPERLINK("https://pbs.twimg.com/profile_images/648818685839339520/9m3OwoX-.png","View")</f>
        <v>View</v>
      </c>
    </row>
    <row r="171" spans="1:21" ht="30">
      <c r="A171" s="10">
        <v>43346.268067129626</v>
      </c>
      <c r="B171" s="11" t="str">
        <f>HYPERLINK("https://twitter.com/Sarah_DPC","@Sarah_DPC")</f>
        <v>@Sarah_DPC</v>
      </c>
      <c r="C171" s="12" t="s">
        <v>178</v>
      </c>
      <c r="D171" s="13" t="s">
        <v>538</v>
      </c>
      <c r="E171" s="14" t="str">
        <f>HYPERLINK("https://twitter.com/Sarah_DPC/status/1036606239403327491","1036606239403327491")</f>
        <v>1036606239403327491</v>
      </c>
      <c r="F171" s="15"/>
      <c r="G171" s="16" t="s">
        <v>539</v>
      </c>
      <c r="H171" s="15"/>
      <c r="I171" s="17">
        <v>1</v>
      </c>
      <c r="J171" s="17">
        <v>4</v>
      </c>
      <c r="K171" s="18" t="str">
        <f t="shared" ref="K171:K174" si="46">HYPERLINK("http://twitter.com/download/android","Twitter for Android")</f>
        <v>Twitter for Android</v>
      </c>
      <c r="L171" s="17">
        <v>1270</v>
      </c>
      <c r="M171" s="17">
        <v>715</v>
      </c>
      <c r="N171" s="17">
        <v>51</v>
      </c>
      <c r="O171" s="19"/>
      <c r="P171" s="10">
        <v>41373.188576388886</v>
      </c>
      <c r="Q171" s="20" t="s">
        <v>180</v>
      </c>
      <c r="R171" s="21" t="s">
        <v>181</v>
      </c>
      <c r="S171" s="16" t="s">
        <v>182</v>
      </c>
      <c r="T171" s="15"/>
      <c r="U171" s="14" t="str">
        <f>HYPERLINK("https://pbs.twimg.com/profile_images/867263862726434816/K2qoO6sD.jpg","View")</f>
        <v>View</v>
      </c>
    </row>
    <row r="172" spans="1:21" ht="30">
      <c r="A172" s="10">
        <v>43346.267106481479</v>
      </c>
      <c r="B172" s="11" t="str">
        <f t="shared" ref="B172:B173" si="47">HYPERLINK("https://twitter.com/dri_ireland","@dri_ireland")</f>
        <v>@dri_ireland</v>
      </c>
      <c r="C172" s="12" t="s">
        <v>197</v>
      </c>
      <c r="D172" s="13" t="s">
        <v>540</v>
      </c>
      <c r="E172" s="14" t="str">
        <f>HYPERLINK("https://twitter.com/dri_ireland/status/1036605892140167168","1036605892140167168")</f>
        <v>1036605892140167168</v>
      </c>
      <c r="F172" s="20" t="s">
        <v>541</v>
      </c>
      <c r="G172" s="15"/>
      <c r="H172" s="15"/>
      <c r="I172" s="17">
        <v>1</v>
      </c>
      <c r="J172" s="17">
        <v>2</v>
      </c>
      <c r="K172" s="18" t="str">
        <f t="shared" si="46"/>
        <v>Twitter for Android</v>
      </c>
      <c r="L172" s="17">
        <v>6134</v>
      </c>
      <c r="M172" s="17">
        <v>1732</v>
      </c>
      <c r="N172" s="17">
        <v>249</v>
      </c>
      <c r="O172" s="19"/>
      <c r="P172" s="10">
        <v>41172.215312500004</v>
      </c>
      <c r="Q172" s="20" t="s">
        <v>200</v>
      </c>
      <c r="R172" s="21" t="s">
        <v>201</v>
      </c>
      <c r="S172" s="16" t="s">
        <v>202</v>
      </c>
      <c r="T172" s="15"/>
      <c r="U172" s="14" t="str">
        <f t="shared" ref="U172:U173" si="48">HYPERLINK("https://pbs.twimg.com/profile_images/603126975268581376/cGZW7aU3.jpg","View")</f>
        <v>View</v>
      </c>
    </row>
    <row r="173" spans="1:21" ht="40">
      <c r="A173" s="10">
        <v>43346.266006944439</v>
      </c>
      <c r="B173" s="11" t="str">
        <f t="shared" si="47"/>
        <v>@dri_ireland</v>
      </c>
      <c r="C173" s="12" t="s">
        <v>197</v>
      </c>
      <c r="D173" s="13" t="s">
        <v>542</v>
      </c>
      <c r="E173" s="14" t="str">
        <f>HYPERLINK("https://twitter.com/dri_ireland/status/1036605494981480448","1036605494981480448")</f>
        <v>1036605494981480448</v>
      </c>
      <c r="F173" s="15"/>
      <c r="G173" s="15"/>
      <c r="H173" s="15"/>
      <c r="I173" s="17">
        <v>1</v>
      </c>
      <c r="J173" s="17">
        <v>2</v>
      </c>
      <c r="K173" s="18" t="str">
        <f t="shared" si="46"/>
        <v>Twitter for Android</v>
      </c>
      <c r="L173" s="17">
        <v>6134</v>
      </c>
      <c r="M173" s="17">
        <v>1732</v>
      </c>
      <c r="N173" s="17">
        <v>249</v>
      </c>
      <c r="O173" s="19"/>
      <c r="P173" s="10">
        <v>41172.215312500004</v>
      </c>
      <c r="Q173" s="20" t="s">
        <v>200</v>
      </c>
      <c r="R173" s="21" t="s">
        <v>201</v>
      </c>
      <c r="S173" s="16" t="s">
        <v>202</v>
      </c>
      <c r="T173" s="15"/>
      <c r="U173" s="14" t="str">
        <f t="shared" si="48"/>
        <v>View</v>
      </c>
    </row>
    <row r="174" spans="1:21" ht="30">
      <c r="A174" s="10">
        <v>43346.265902777777</v>
      </c>
      <c r="B174" s="11" t="str">
        <f>HYPERLINK("https://twitter.com/arranjrees","@arranjrees")</f>
        <v>@arranjrees</v>
      </c>
      <c r="C174" s="12" t="s">
        <v>490</v>
      </c>
      <c r="D174" s="13" t="s">
        <v>543</v>
      </c>
      <c r="E174" s="14" t="str">
        <f>HYPERLINK("https://twitter.com/arranjrees/status/1036605456314187776","1036605456314187776")</f>
        <v>1036605456314187776</v>
      </c>
      <c r="F174" s="15"/>
      <c r="G174" s="16" t="s">
        <v>544</v>
      </c>
      <c r="H174" s="15"/>
      <c r="I174" s="17">
        <v>1</v>
      </c>
      <c r="J174" s="17">
        <v>17</v>
      </c>
      <c r="K174" s="18" t="str">
        <f t="shared" si="46"/>
        <v>Twitter for Android</v>
      </c>
      <c r="L174" s="17">
        <v>1717</v>
      </c>
      <c r="M174" s="17">
        <v>929</v>
      </c>
      <c r="N174" s="17">
        <v>32</v>
      </c>
      <c r="O174" s="19"/>
      <c r="P174" s="10">
        <v>40550.554884259262</v>
      </c>
      <c r="Q174" s="20" t="s">
        <v>458</v>
      </c>
      <c r="R174" s="21" t="s">
        <v>493</v>
      </c>
      <c r="S174" s="16" t="s">
        <v>494</v>
      </c>
      <c r="T174" s="15"/>
      <c r="U174" s="14" t="str">
        <f>HYPERLINK("https://pbs.twimg.com/profile_images/1027536161080860673/iP5ROxDR.jpg","View")</f>
        <v>View</v>
      </c>
    </row>
    <row r="175" spans="1:21" ht="40">
      <c r="A175" s="10">
        <v>43346.265486111108</v>
      </c>
      <c r="B175" s="11" t="str">
        <f>HYPERLINK("https://twitter.com/libnova","@libnova")</f>
        <v>@libnova</v>
      </c>
      <c r="C175" s="12" t="s">
        <v>545</v>
      </c>
      <c r="D175" s="13" t="s">
        <v>546</v>
      </c>
      <c r="E175" s="14" t="str">
        <f>HYPERLINK("https://twitter.com/libnova/status/1036605304715333637","1036605304715333637")</f>
        <v>1036605304715333637</v>
      </c>
      <c r="F175" s="16" t="s">
        <v>547</v>
      </c>
      <c r="G175" s="16" t="s">
        <v>548</v>
      </c>
      <c r="H175" s="15"/>
      <c r="I175" s="17">
        <v>2</v>
      </c>
      <c r="J175" s="17">
        <v>3</v>
      </c>
      <c r="K175" s="18" t="str">
        <f>HYPERLINK("http://twitter.com","Twitter Web Client")</f>
        <v>Twitter Web Client</v>
      </c>
      <c r="L175" s="17">
        <v>223</v>
      </c>
      <c r="M175" s="17">
        <v>327</v>
      </c>
      <c r="N175" s="17">
        <v>21</v>
      </c>
      <c r="O175" s="19"/>
      <c r="P175" s="10">
        <v>40848.20716435185</v>
      </c>
      <c r="Q175" s="20" t="s">
        <v>549</v>
      </c>
      <c r="R175" s="21" t="s">
        <v>550</v>
      </c>
      <c r="S175" s="16" t="s">
        <v>551</v>
      </c>
      <c r="T175" s="15"/>
      <c r="U175" s="14" t="str">
        <f>HYPERLINK("https://pbs.twimg.com/profile_images/1617051195/logo-twitter.png","View")</f>
        <v>View</v>
      </c>
    </row>
    <row r="176" spans="1:21" ht="40">
      <c r="A176" s="10">
        <v>43346.265011574069</v>
      </c>
      <c r="B176" s="11" t="str">
        <f>HYPERLINK("https://twitter.com/steph_fuller","@steph_fuller")</f>
        <v>@steph_fuller</v>
      </c>
      <c r="C176" s="12" t="s">
        <v>552</v>
      </c>
      <c r="D176" s="13" t="s">
        <v>553</v>
      </c>
      <c r="E176" s="14" t="str">
        <f>HYPERLINK("https://twitter.com/steph_fuller/status/1036605133218611202","1036605133218611202")</f>
        <v>1036605133218611202</v>
      </c>
      <c r="F176" s="15"/>
      <c r="G176" s="15"/>
      <c r="H176" s="15"/>
      <c r="I176" s="17">
        <v>0</v>
      </c>
      <c r="J176" s="17">
        <v>0</v>
      </c>
      <c r="K176" s="18" t="str">
        <f>HYPERLINK("http://twitter.com/#!/download/ipad","Twitter for iPad")</f>
        <v>Twitter for iPad</v>
      </c>
      <c r="L176" s="17">
        <v>1922</v>
      </c>
      <c r="M176" s="17">
        <v>1876</v>
      </c>
      <c r="N176" s="17">
        <v>81</v>
      </c>
      <c r="O176" s="19"/>
      <c r="P176" s="10">
        <v>40510.466377314813</v>
      </c>
      <c r="Q176" s="20" t="s">
        <v>554</v>
      </c>
      <c r="R176" s="21" t="s">
        <v>555</v>
      </c>
      <c r="S176" s="15"/>
      <c r="T176" s="15"/>
      <c r="U176" s="14" t="str">
        <f>HYPERLINK("https://pbs.twimg.com/profile_images/609068622011621376/HqYsjVOU.jpg","View")</f>
        <v>View</v>
      </c>
    </row>
    <row r="177" spans="1:21" ht="40">
      <c r="A177" s="10">
        <v>43346.264918981484</v>
      </c>
      <c r="B177" s="11" t="str">
        <f>HYPERLINK("https://twitter.com/MariaEcoGl","@MariaEcoGl")</f>
        <v>@MariaEcoGl</v>
      </c>
      <c r="C177" s="12" t="s">
        <v>304</v>
      </c>
      <c r="D177" s="13" t="s">
        <v>556</v>
      </c>
      <c r="E177" s="14" t="str">
        <f>HYPERLINK("https://twitter.com/MariaEcoGl/status/1036605098288455681","1036605098288455681")</f>
        <v>1036605098288455681</v>
      </c>
      <c r="F177" s="15"/>
      <c r="G177" s="16" t="s">
        <v>557</v>
      </c>
      <c r="H177" s="15"/>
      <c r="I177" s="17">
        <v>1</v>
      </c>
      <c r="J177" s="17">
        <v>2</v>
      </c>
      <c r="K177" s="18" t="str">
        <f>HYPERLINK("http://twitter.com/download/iphone","Twitter for iPhone")</f>
        <v>Twitter for iPhone</v>
      </c>
      <c r="L177" s="17">
        <v>1479</v>
      </c>
      <c r="M177" s="17">
        <v>2085</v>
      </c>
      <c r="N177" s="17">
        <v>43</v>
      </c>
      <c r="O177" s="19"/>
      <c r="P177" s="10">
        <v>41611.245787037034</v>
      </c>
      <c r="Q177" s="20" t="s">
        <v>307</v>
      </c>
      <c r="R177" s="21" t="s">
        <v>308</v>
      </c>
      <c r="S177" s="16" t="s">
        <v>309</v>
      </c>
      <c r="T177" s="15"/>
      <c r="U177" s="14" t="str">
        <f>HYPERLINK("https://pbs.twimg.com/profile_images/600251605141692416/YeaqAIJB.png","View")</f>
        <v>View</v>
      </c>
    </row>
    <row r="178" spans="1:21" ht="40">
      <c r="A178" s="10">
        <v>43346.264328703706</v>
      </c>
      <c r="B178" s="11" t="str">
        <f>HYPERLINK("https://twitter.com/JoePadfield","@JoePadfield")</f>
        <v>@JoePadfield</v>
      </c>
      <c r="C178" s="12" t="s">
        <v>323</v>
      </c>
      <c r="D178" s="13" t="s">
        <v>558</v>
      </c>
      <c r="E178" s="14" t="str">
        <f>HYPERLINK("https://twitter.com/JoePadfield/status/1036604886916444161","1036604886916444161")</f>
        <v>1036604886916444161</v>
      </c>
      <c r="F178" s="15"/>
      <c r="G178" s="15"/>
      <c r="H178" s="15"/>
      <c r="I178" s="17">
        <v>0</v>
      </c>
      <c r="J178" s="17">
        <v>1</v>
      </c>
      <c r="K178" s="18" t="str">
        <f>HYPERLINK("http://twitter.com/download/android","Twitter for Android")</f>
        <v>Twitter for Android</v>
      </c>
      <c r="L178" s="17">
        <v>1094</v>
      </c>
      <c r="M178" s="17">
        <v>543</v>
      </c>
      <c r="N178" s="17">
        <v>64</v>
      </c>
      <c r="O178" s="19"/>
      <c r="P178" s="10">
        <v>39877.535543981481</v>
      </c>
      <c r="Q178" s="20" t="s">
        <v>56</v>
      </c>
      <c r="R178" s="21" t="s">
        <v>325</v>
      </c>
      <c r="S178" s="16" t="s">
        <v>326</v>
      </c>
      <c r="T178" s="15"/>
      <c r="U178" s="14" t="str">
        <f>HYPERLINK("https://pbs.twimg.com/profile_images/1010189169841328128/aFZtk4bf.jpg","View")</f>
        <v>View</v>
      </c>
    </row>
    <row r="179" spans="1:21" ht="20">
      <c r="A179" s="10">
        <v>43346.263692129629</v>
      </c>
      <c r="B179" s="11" t="str">
        <f>HYPERLINK("https://twitter.com/ArtistArchivist","@ArtistArchivist")</f>
        <v>@ArtistArchivist</v>
      </c>
      <c r="C179" s="12" t="s">
        <v>559</v>
      </c>
      <c r="D179" s="13" t="s">
        <v>560</v>
      </c>
      <c r="E179" s="14" t="str">
        <f>HYPERLINK("https://twitter.com/ArtistArchivist/status/1036604652987539456","1036604652987539456")</f>
        <v>1036604652987539456</v>
      </c>
      <c r="F179" s="15"/>
      <c r="G179" s="16" t="s">
        <v>561</v>
      </c>
      <c r="H179" s="15"/>
      <c r="I179" s="17">
        <v>2</v>
      </c>
      <c r="J179" s="17">
        <v>2</v>
      </c>
      <c r="K179" s="18" t="str">
        <f>HYPERLINK("http://twitter.com/#!/download/ipad","Twitter for iPad")</f>
        <v>Twitter for iPad</v>
      </c>
      <c r="L179" s="17">
        <v>1021</v>
      </c>
      <c r="M179" s="17">
        <v>1342</v>
      </c>
      <c r="N179" s="17">
        <v>35</v>
      </c>
      <c r="O179" s="19"/>
      <c r="P179" s="10">
        <v>41850.497349537036</v>
      </c>
      <c r="Q179" s="20" t="s">
        <v>307</v>
      </c>
      <c r="R179" s="21" t="s">
        <v>562</v>
      </c>
      <c r="S179" s="16" t="s">
        <v>563</v>
      </c>
      <c r="T179" s="15"/>
      <c r="U179" s="14" t="str">
        <f>HYPERLINK("https://pbs.twimg.com/profile_images/600860364079763456/vl13eRgf.jpg","View")</f>
        <v>View</v>
      </c>
    </row>
    <row r="180" spans="1:21" ht="30">
      <c r="A180" s="10">
        <v>43346.261886574073</v>
      </c>
      <c r="B180" s="11" t="str">
        <f>HYPERLINK("https://twitter.com/SLIPIreland","@SLIPIreland")</f>
        <v>@SLIPIreland</v>
      </c>
      <c r="C180" s="12" t="s">
        <v>161</v>
      </c>
      <c r="D180" s="13" t="s">
        <v>564</v>
      </c>
      <c r="E180" s="14" t="str">
        <f>HYPERLINK("https://twitter.com/SLIPIreland/status/1036604001209470977","1036604001209470977")</f>
        <v>1036604001209470977</v>
      </c>
      <c r="F180" s="15"/>
      <c r="G180" s="16" t="s">
        <v>565</v>
      </c>
      <c r="H180" s="15"/>
      <c r="I180" s="17">
        <v>2</v>
      </c>
      <c r="J180" s="17">
        <v>1</v>
      </c>
      <c r="K180" s="18" t="str">
        <f t="shared" ref="K180:K184" si="49">HYPERLINK("http://twitter.com/download/android","Twitter for Android")</f>
        <v>Twitter for Android</v>
      </c>
      <c r="L180" s="17">
        <v>943</v>
      </c>
      <c r="M180" s="17">
        <v>581</v>
      </c>
      <c r="N180" s="17">
        <v>43</v>
      </c>
      <c r="O180" s="19"/>
      <c r="P180" s="10">
        <v>42067.319490740745</v>
      </c>
      <c r="Q180" s="20" t="s">
        <v>164</v>
      </c>
      <c r="R180" s="21" t="s">
        <v>165</v>
      </c>
      <c r="S180" s="16" t="s">
        <v>166</v>
      </c>
      <c r="T180" s="15"/>
      <c r="U180" s="14" t="str">
        <f>HYPERLINK("https://pbs.twimg.com/profile_images/611647654574051328/YqIu3i2j.png","View")</f>
        <v>View</v>
      </c>
    </row>
    <row r="181" spans="1:21" ht="40">
      <c r="A181" s="10">
        <v>43346.261273148149</v>
      </c>
      <c r="B181" s="11" t="str">
        <f>HYPERLINK("https://twitter.com/jdk653","@jdk653")</f>
        <v>@jdk653</v>
      </c>
      <c r="C181" s="12" t="s">
        <v>358</v>
      </c>
      <c r="D181" s="13" t="s">
        <v>566</v>
      </c>
      <c r="E181" s="14" t="str">
        <f>HYPERLINK("https://twitter.com/jdk653/status/1036603779246948353","1036603779246948353")</f>
        <v>1036603779246948353</v>
      </c>
      <c r="F181" s="15"/>
      <c r="G181" s="15"/>
      <c r="H181" s="15"/>
      <c r="I181" s="17">
        <v>1</v>
      </c>
      <c r="J181" s="17">
        <v>2</v>
      </c>
      <c r="K181" s="18" t="str">
        <f t="shared" si="49"/>
        <v>Twitter for Android</v>
      </c>
      <c r="L181" s="17">
        <v>1408</v>
      </c>
      <c r="M181" s="17">
        <v>555</v>
      </c>
      <c r="N181" s="17">
        <v>51</v>
      </c>
      <c r="O181" s="19"/>
      <c r="P181" s="10">
        <v>40039.645243055558</v>
      </c>
      <c r="Q181" s="20" t="s">
        <v>360</v>
      </c>
      <c r="R181" s="21" t="s">
        <v>361</v>
      </c>
      <c r="S181" s="15"/>
      <c r="T181" s="15"/>
      <c r="U181" s="14" t="str">
        <f>HYPERLINK("https://pbs.twimg.com/profile_images/459055826607415296/7xy78FeW.jpeg","View")</f>
        <v>View</v>
      </c>
    </row>
    <row r="182" spans="1:21" ht="30">
      <c r="A182" s="10">
        <v>43346.259988425925</v>
      </c>
      <c r="B182" s="11" t="str">
        <f t="shared" ref="B182:B183" si="50">HYPERLINK("https://twitter.com/CriticalSteph","@CriticalSteph")</f>
        <v>@CriticalSteph</v>
      </c>
      <c r="C182" s="12" t="s">
        <v>209</v>
      </c>
      <c r="D182" s="13" t="s">
        <v>567</v>
      </c>
      <c r="E182" s="14" t="str">
        <f>HYPERLINK("https://twitter.com/CriticalSteph/status/1036603311791718401","1036603311791718401")</f>
        <v>1036603311791718401</v>
      </c>
      <c r="F182" s="15"/>
      <c r="G182" s="15"/>
      <c r="H182" s="15"/>
      <c r="I182" s="17">
        <v>0</v>
      </c>
      <c r="J182" s="17">
        <v>1</v>
      </c>
      <c r="K182" s="18" t="str">
        <f t="shared" si="49"/>
        <v>Twitter for Android</v>
      </c>
      <c r="L182" s="17">
        <v>2083</v>
      </c>
      <c r="M182" s="17">
        <v>2189</v>
      </c>
      <c r="N182" s="17">
        <v>140</v>
      </c>
      <c r="O182" s="19"/>
      <c r="P182" s="10">
        <v>39853.082071759258</v>
      </c>
      <c r="Q182" s="20" t="s">
        <v>211</v>
      </c>
      <c r="R182" s="21" t="s">
        <v>212</v>
      </c>
      <c r="S182" s="16" t="s">
        <v>213</v>
      </c>
      <c r="T182" s="15"/>
      <c r="U182" s="14" t="str">
        <f t="shared" ref="U182:U183" si="51">HYPERLINK("https://pbs.twimg.com/profile_images/619416622705414144/2Tyn4jkC.png","View")</f>
        <v>View</v>
      </c>
    </row>
    <row r="183" spans="1:21" ht="40">
      <c r="A183" s="10">
        <v>43346.258981481486</v>
      </c>
      <c r="B183" s="11" t="str">
        <f t="shared" si="50"/>
        <v>@CriticalSteph</v>
      </c>
      <c r="C183" s="12" t="s">
        <v>209</v>
      </c>
      <c r="D183" s="13" t="s">
        <v>568</v>
      </c>
      <c r="E183" s="14" t="str">
        <f>HYPERLINK("https://twitter.com/CriticalSteph/status/1036602946908299266","1036602946908299266")</f>
        <v>1036602946908299266</v>
      </c>
      <c r="F183" s="15"/>
      <c r="G183" s="15"/>
      <c r="H183" s="15"/>
      <c r="I183" s="17">
        <v>3</v>
      </c>
      <c r="J183" s="17">
        <v>3</v>
      </c>
      <c r="K183" s="18" t="str">
        <f t="shared" si="49"/>
        <v>Twitter for Android</v>
      </c>
      <c r="L183" s="17">
        <v>2083</v>
      </c>
      <c r="M183" s="17">
        <v>2189</v>
      </c>
      <c r="N183" s="17">
        <v>140</v>
      </c>
      <c r="O183" s="19"/>
      <c r="P183" s="10">
        <v>39853.082071759258</v>
      </c>
      <c r="Q183" s="20" t="s">
        <v>211</v>
      </c>
      <c r="R183" s="21" t="s">
        <v>212</v>
      </c>
      <c r="S183" s="16" t="s">
        <v>213</v>
      </c>
      <c r="T183" s="15"/>
      <c r="U183" s="14" t="str">
        <f t="shared" si="51"/>
        <v>View</v>
      </c>
    </row>
    <row r="184" spans="1:21" ht="40">
      <c r="A184" s="10">
        <v>43346.258587962962</v>
      </c>
      <c r="B184" s="11" t="str">
        <f>HYPERLINK("https://twitter.com/SLIPIreland","@SLIPIreland")</f>
        <v>@SLIPIreland</v>
      </c>
      <c r="C184" s="12" t="s">
        <v>161</v>
      </c>
      <c r="D184" s="13" t="s">
        <v>569</v>
      </c>
      <c r="E184" s="14" t="str">
        <f>HYPERLINK("https://twitter.com/SLIPIreland/status/1036602803517628417","1036602803517628417")</f>
        <v>1036602803517628417</v>
      </c>
      <c r="F184" s="16" t="s">
        <v>570</v>
      </c>
      <c r="G184" s="16" t="s">
        <v>571</v>
      </c>
      <c r="H184" s="15"/>
      <c r="I184" s="17">
        <v>3</v>
      </c>
      <c r="J184" s="17">
        <v>3</v>
      </c>
      <c r="K184" s="18" t="str">
        <f t="shared" si="49"/>
        <v>Twitter for Android</v>
      </c>
      <c r="L184" s="17">
        <v>943</v>
      </c>
      <c r="M184" s="17">
        <v>581</v>
      </c>
      <c r="N184" s="17">
        <v>43</v>
      </c>
      <c r="O184" s="19"/>
      <c r="P184" s="10">
        <v>42067.319490740745</v>
      </c>
      <c r="Q184" s="20" t="s">
        <v>164</v>
      </c>
      <c r="R184" s="21" t="s">
        <v>165</v>
      </c>
      <c r="S184" s="16" t="s">
        <v>166</v>
      </c>
      <c r="T184" s="15"/>
      <c r="U184" s="14" t="str">
        <f>HYPERLINK("https://pbs.twimg.com/profile_images/611647654574051328/YqIu3i2j.png","View")</f>
        <v>View</v>
      </c>
    </row>
    <row r="185" spans="1:21" ht="30">
      <c r="A185" s="10">
        <v>43346.258506944447</v>
      </c>
      <c r="B185" s="11" t="str">
        <f>HYPERLINK("https://twitter.com/mbojanowska","@mbojanowska")</f>
        <v>@mbojanowska</v>
      </c>
      <c r="C185" s="12" t="s">
        <v>572</v>
      </c>
      <c r="D185" s="13" t="s">
        <v>573</v>
      </c>
      <c r="E185" s="14" t="str">
        <f>HYPERLINK("https://twitter.com/mbojanowska/status/1036602775013085186","1036602775013085186")</f>
        <v>1036602775013085186</v>
      </c>
      <c r="F185" s="15"/>
      <c r="G185" s="16" t="s">
        <v>574</v>
      </c>
      <c r="H185" s="15"/>
      <c r="I185" s="17">
        <v>7</v>
      </c>
      <c r="J185" s="17">
        <v>22</v>
      </c>
      <c r="K185" s="18" t="str">
        <f>HYPERLINK("http://twitter.com/download/iphone","Twitter for iPhone")</f>
        <v>Twitter for iPhone</v>
      </c>
      <c r="L185" s="17">
        <v>557</v>
      </c>
      <c r="M185" s="17">
        <v>215</v>
      </c>
      <c r="N185" s="17">
        <v>10</v>
      </c>
      <c r="O185" s="19"/>
      <c r="P185" s="10">
        <v>40461.576481481483</v>
      </c>
      <c r="Q185" s="20" t="s">
        <v>575</v>
      </c>
      <c r="R185" s="21" t="s">
        <v>576</v>
      </c>
      <c r="S185" s="15"/>
      <c r="T185" s="15"/>
      <c r="U185" s="14" t="str">
        <f>HYPERLINK("https://pbs.twimg.com/profile_images/491644101461569536/6rRlILvm.jpeg","View")</f>
        <v>View</v>
      </c>
    </row>
    <row r="186" spans="1:21" ht="30">
      <c r="A186" s="10">
        <v>43346.256874999999</v>
      </c>
      <c r="B186" s="11" t="str">
        <f>HYPERLINK("https://twitter.com/CriticalSteph","@CriticalSteph")</f>
        <v>@CriticalSteph</v>
      </c>
      <c r="C186" s="12" t="s">
        <v>209</v>
      </c>
      <c r="D186" s="13" t="s">
        <v>577</v>
      </c>
      <c r="E186" s="14" t="str">
        <f>HYPERLINK("https://twitter.com/CriticalSteph/status/1036602183830171650","1036602183830171650")</f>
        <v>1036602183830171650</v>
      </c>
      <c r="F186" s="15"/>
      <c r="G186" s="15"/>
      <c r="H186" s="15"/>
      <c r="I186" s="17">
        <v>1</v>
      </c>
      <c r="J186" s="17">
        <v>3</v>
      </c>
      <c r="K186" s="18" t="str">
        <f>HYPERLINK("http://twitter.com/download/android","Twitter for Android")</f>
        <v>Twitter for Android</v>
      </c>
      <c r="L186" s="17">
        <v>2083</v>
      </c>
      <c r="M186" s="17">
        <v>2189</v>
      </c>
      <c r="N186" s="17">
        <v>140</v>
      </c>
      <c r="O186" s="19"/>
      <c r="P186" s="10">
        <v>39853.082071759258</v>
      </c>
      <c r="Q186" s="20" t="s">
        <v>211</v>
      </c>
      <c r="R186" s="21" t="s">
        <v>212</v>
      </c>
      <c r="S186" s="16" t="s">
        <v>213</v>
      </c>
      <c r="T186" s="15"/>
      <c r="U186" s="14" t="str">
        <f>HYPERLINK("https://pbs.twimg.com/profile_images/619416622705414144/2Tyn4jkC.png","View")</f>
        <v>View</v>
      </c>
    </row>
    <row r="187" spans="1:21" ht="50">
      <c r="A187" s="10">
        <v>43346.256284722222</v>
      </c>
      <c r="B187" s="11" t="str">
        <f>HYPERLINK("https://twitter.com/MariaEcoGl","@MariaEcoGl")</f>
        <v>@MariaEcoGl</v>
      </c>
      <c r="C187" s="12" t="s">
        <v>304</v>
      </c>
      <c r="D187" s="13" t="s">
        <v>578</v>
      </c>
      <c r="E187" s="14" t="str">
        <f>HYPERLINK("https://twitter.com/MariaEcoGl/status/1036601971510259712","1036601971510259712")</f>
        <v>1036601971510259712</v>
      </c>
      <c r="F187" s="15"/>
      <c r="G187" s="15"/>
      <c r="H187" s="15"/>
      <c r="I187" s="17">
        <v>2</v>
      </c>
      <c r="J187" s="17">
        <v>3</v>
      </c>
      <c r="K187" s="18" t="str">
        <f>HYPERLINK("http://twitter.com/download/iphone","Twitter for iPhone")</f>
        <v>Twitter for iPhone</v>
      </c>
      <c r="L187" s="17">
        <v>1479</v>
      </c>
      <c r="M187" s="17">
        <v>2085</v>
      </c>
      <c r="N187" s="17">
        <v>43</v>
      </c>
      <c r="O187" s="19"/>
      <c r="P187" s="10">
        <v>41611.245787037034</v>
      </c>
      <c r="Q187" s="20" t="s">
        <v>307</v>
      </c>
      <c r="R187" s="21" t="s">
        <v>308</v>
      </c>
      <c r="S187" s="16" t="s">
        <v>309</v>
      </c>
      <c r="T187" s="15"/>
      <c r="U187" s="14" t="str">
        <f>HYPERLINK("https://pbs.twimg.com/profile_images/600251605141692416/YeaqAIJB.png","View")</f>
        <v>View</v>
      </c>
    </row>
    <row r="188" spans="1:21" ht="30">
      <c r="A188" s="10">
        <v>43346.254953703705</v>
      </c>
      <c r="B188" s="11" t="str">
        <f>HYPERLINK("https://twitter.com/Sarah_DPC","@Sarah_DPC")</f>
        <v>@Sarah_DPC</v>
      </c>
      <c r="C188" s="12" t="s">
        <v>178</v>
      </c>
      <c r="D188" s="13" t="s">
        <v>579</v>
      </c>
      <c r="E188" s="14" t="str">
        <f>HYPERLINK("https://twitter.com/Sarah_DPC/status/1036601489626734593","1036601489626734593")</f>
        <v>1036601489626734593</v>
      </c>
      <c r="F188" s="15"/>
      <c r="G188" s="15"/>
      <c r="H188" s="15"/>
      <c r="I188" s="17">
        <v>0</v>
      </c>
      <c r="J188" s="17">
        <v>2</v>
      </c>
      <c r="K188" s="18" t="str">
        <f t="shared" ref="K188:K193" si="52">HYPERLINK("http://twitter.com/download/android","Twitter for Android")</f>
        <v>Twitter for Android</v>
      </c>
      <c r="L188" s="17">
        <v>1270</v>
      </c>
      <c r="M188" s="17">
        <v>715</v>
      </c>
      <c r="N188" s="17">
        <v>51</v>
      </c>
      <c r="O188" s="19"/>
      <c r="P188" s="10">
        <v>41373.188576388886</v>
      </c>
      <c r="Q188" s="20" t="s">
        <v>180</v>
      </c>
      <c r="R188" s="21" t="s">
        <v>181</v>
      </c>
      <c r="S188" s="16" t="s">
        <v>182</v>
      </c>
      <c r="T188" s="15"/>
      <c r="U188" s="14" t="str">
        <f>HYPERLINK("https://pbs.twimg.com/profile_images/867263862726434816/K2qoO6sD.jpg","View")</f>
        <v>View</v>
      </c>
    </row>
    <row r="189" spans="1:21" ht="30">
      <c r="A189" s="10">
        <v>43346.254513888889</v>
      </c>
      <c r="B189" s="11" t="str">
        <f>HYPERLINK("https://twitter.com/CriticalSteph","@CriticalSteph")</f>
        <v>@CriticalSteph</v>
      </c>
      <c r="C189" s="12" t="s">
        <v>209</v>
      </c>
      <c r="D189" s="13" t="s">
        <v>580</v>
      </c>
      <c r="E189" s="14" t="str">
        <f>HYPERLINK("https://twitter.com/CriticalSteph/status/1036601328661880834","1036601328661880834")</f>
        <v>1036601328661880834</v>
      </c>
      <c r="F189" s="15"/>
      <c r="G189" s="15"/>
      <c r="H189" s="15"/>
      <c r="I189" s="17">
        <v>1</v>
      </c>
      <c r="J189" s="17">
        <v>1</v>
      </c>
      <c r="K189" s="18" t="str">
        <f t="shared" si="52"/>
        <v>Twitter for Android</v>
      </c>
      <c r="L189" s="17">
        <v>2083</v>
      </c>
      <c r="M189" s="17">
        <v>2189</v>
      </c>
      <c r="N189" s="17">
        <v>140</v>
      </c>
      <c r="O189" s="19"/>
      <c r="P189" s="10">
        <v>39853.082071759258</v>
      </c>
      <c r="Q189" s="20" t="s">
        <v>211</v>
      </c>
      <c r="R189" s="21" t="s">
        <v>212</v>
      </c>
      <c r="S189" s="16" t="s">
        <v>213</v>
      </c>
      <c r="T189" s="15"/>
      <c r="U189" s="14" t="str">
        <f>HYPERLINK("https://pbs.twimg.com/profile_images/619416622705414144/2Tyn4jkC.png","View")</f>
        <v>View</v>
      </c>
    </row>
    <row r="190" spans="1:21" ht="20">
      <c r="A190" s="10">
        <v>43346.253483796296</v>
      </c>
      <c r="B190" s="11" t="str">
        <f>HYPERLINK("https://twitter.com/Sarah_DPC","@Sarah_DPC")</f>
        <v>@Sarah_DPC</v>
      </c>
      <c r="C190" s="12" t="s">
        <v>178</v>
      </c>
      <c r="D190" s="13" t="s">
        <v>581</v>
      </c>
      <c r="E190" s="14" t="str">
        <f>HYPERLINK("https://twitter.com/Sarah_DPC/status/1036600956383834112","1036600956383834112")</f>
        <v>1036600956383834112</v>
      </c>
      <c r="F190" s="15"/>
      <c r="G190" s="15"/>
      <c r="H190" s="15"/>
      <c r="I190" s="17">
        <v>0</v>
      </c>
      <c r="J190" s="17">
        <v>4</v>
      </c>
      <c r="K190" s="18" t="str">
        <f t="shared" si="52"/>
        <v>Twitter for Android</v>
      </c>
      <c r="L190" s="17">
        <v>1270</v>
      </c>
      <c r="M190" s="17">
        <v>715</v>
      </c>
      <c r="N190" s="17">
        <v>51</v>
      </c>
      <c r="O190" s="19"/>
      <c r="P190" s="10">
        <v>41373.188576388886</v>
      </c>
      <c r="Q190" s="20" t="s">
        <v>180</v>
      </c>
      <c r="R190" s="21" t="s">
        <v>181</v>
      </c>
      <c r="S190" s="16" t="s">
        <v>182</v>
      </c>
      <c r="T190" s="15"/>
      <c r="U190" s="14" t="str">
        <f>HYPERLINK("https://pbs.twimg.com/profile_images/867263862726434816/K2qoO6sD.jpg","View")</f>
        <v>View</v>
      </c>
    </row>
    <row r="191" spans="1:21" ht="30">
      <c r="A191" s="10">
        <v>43346.253402777773</v>
      </c>
      <c r="B191" s="11" t="str">
        <f>HYPERLINK("https://twitter.com/CriticalSteph","@CriticalSteph")</f>
        <v>@CriticalSteph</v>
      </c>
      <c r="C191" s="12" t="s">
        <v>209</v>
      </c>
      <c r="D191" s="13" t="s">
        <v>582</v>
      </c>
      <c r="E191" s="14" t="str">
        <f>HYPERLINK("https://twitter.com/CriticalSteph/status/1036600924129640453","1036600924129640453")</f>
        <v>1036600924129640453</v>
      </c>
      <c r="F191" s="15"/>
      <c r="G191" s="16" t="s">
        <v>583</v>
      </c>
      <c r="H191" s="15"/>
      <c r="I191" s="17">
        <v>1</v>
      </c>
      <c r="J191" s="17">
        <v>2</v>
      </c>
      <c r="K191" s="18" t="str">
        <f t="shared" si="52"/>
        <v>Twitter for Android</v>
      </c>
      <c r="L191" s="17">
        <v>2083</v>
      </c>
      <c r="M191" s="17">
        <v>2189</v>
      </c>
      <c r="N191" s="17">
        <v>140</v>
      </c>
      <c r="O191" s="19"/>
      <c r="P191" s="10">
        <v>39853.082071759258</v>
      </c>
      <c r="Q191" s="20" t="s">
        <v>211</v>
      </c>
      <c r="R191" s="21" t="s">
        <v>212</v>
      </c>
      <c r="S191" s="16" t="s">
        <v>213</v>
      </c>
      <c r="T191" s="15"/>
      <c r="U191" s="14" t="str">
        <f>HYPERLINK("https://pbs.twimg.com/profile_images/619416622705414144/2Tyn4jkC.png","View")</f>
        <v>View</v>
      </c>
    </row>
    <row r="192" spans="1:21" ht="50">
      <c r="A192" s="10">
        <v>43346.253263888888</v>
      </c>
      <c r="B192" s="11" t="str">
        <f>HYPERLINK("https://twitter.com/SLIPIreland","@SLIPIreland")</f>
        <v>@SLIPIreland</v>
      </c>
      <c r="C192" s="12" t="s">
        <v>161</v>
      </c>
      <c r="D192" s="13" t="s">
        <v>584</v>
      </c>
      <c r="E192" s="14" t="str">
        <f>HYPERLINK("https://twitter.com/SLIPIreland/status/1036600873709957120","1036600873709957120")</f>
        <v>1036600873709957120</v>
      </c>
      <c r="F192" s="15"/>
      <c r="G192" s="16" t="s">
        <v>585</v>
      </c>
      <c r="H192" s="15"/>
      <c r="I192" s="17">
        <v>4</v>
      </c>
      <c r="J192" s="17">
        <v>12</v>
      </c>
      <c r="K192" s="18" t="str">
        <f t="shared" si="52"/>
        <v>Twitter for Android</v>
      </c>
      <c r="L192" s="17">
        <v>943</v>
      </c>
      <c r="M192" s="17">
        <v>581</v>
      </c>
      <c r="N192" s="17">
        <v>43</v>
      </c>
      <c r="O192" s="19"/>
      <c r="P192" s="10">
        <v>42067.319490740745</v>
      </c>
      <c r="Q192" s="20" t="s">
        <v>164</v>
      </c>
      <c r="R192" s="21" t="s">
        <v>165</v>
      </c>
      <c r="S192" s="16" t="s">
        <v>166</v>
      </c>
      <c r="T192" s="15"/>
      <c r="U192" s="14" t="str">
        <f>HYPERLINK("https://pbs.twimg.com/profile_images/611647654574051328/YqIu3i2j.png","View")</f>
        <v>View</v>
      </c>
    </row>
    <row r="193" spans="1:21" ht="40">
      <c r="A193" s="10">
        <v>43346.252557870372</v>
      </c>
      <c r="B193" s="11" t="str">
        <f>HYPERLINK("https://twitter.com/Sarah_DPC","@Sarah_DPC")</f>
        <v>@Sarah_DPC</v>
      </c>
      <c r="C193" s="12" t="s">
        <v>178</v>
      </c>
      <c r="D193" s="13" t="s">
        <v>586</v>
      </c>
      <c r="E193" s="14" t="str">
        <f>HYPERLINK("https://twitter.com/Sarah_DPC/status/1036600621724520449","1036600621724520449")</f>
        <v>1036600621724520449</v>
      </c>
      <c r="F193" s="15"/>
      <c r="G193" s="15"/>
      <c r="H193" s="15"/>
      <c r="I193" s="17">
        <v>2</v>
      </c>
      <c r="J193" s="17">
        <v>2</v>
      </c>
      <c r="K193" s="18" t="str">
        <f t="shared" si="52"/>
        <v>Twitter for Android</v>
      </c>
      <c r="L193" s="17">
        <v>1270</v>
      </c>
      <c r="M193" s="17">
        <v>715</v>
      </c>
      <c r="N193" s="17">
        <v>51</v>
      </c>
      <c r="O193" s="19"/>
      <c r="P193" s="10">
        <v>41373.188576388886</v>
      </c>
      <c r="Q193" s="20" t="s">
        <v>180</v>
      </c>
      <c r="R193" s="21" t="s">
        <v>181</v>
      </c>
      <c r="S193" s="16" t="s">
        <v>182</v>
      </c>
      <c r="T193" s="15"/>
      <c r="U193" s="14" t="str">
        <f>HYPERLINK("https://pbs.twimg.com/profile_images/867263862726434816/K2qoO6sD.jpg","View")</f>
        <v>View</v>
      </c>
    </row>
    <row r="194" spans="1:21" ht="50">
      <c r="A194" s="10">
        <v>43346.252372685187</v>
      </c>
      <c r="B194" s="11" t="str">
        <f>HYPERLINK("https://twitter.com/MarDixon","@MarDixon")</f>
        <v>@MarDixon</v>
      </c>
      <c r="C194" s="12" t="s">
        <v>317</v>
      </c>
      <c r="D194" s="13" t="s">
        <v>587</v>
      </c>
      <c r="E194" s="14" t="str">
        <f>HYPERLINK("https://twitter.com/MarDixon/status/1036600552489201664","1036600552489201664")</f>
        <v>1036600552489201664</v>
      </c>
      <c r="F194" s="15"/>
      <c r="G194" s="15"/>
      <c r="H194" s="15"/>
      <c r="I194" s="17">
        <v>1</v>
      </c>
      <c r="J194" s="17">
        <v>2</v>
      </c>
      <c r="K194" s="18" t="str">
        <f>HYPERLINK("http://twitter.com","Twitter Web Client")</f>
        <v>Twitter Web Client</v>
      </c>
      <c r="L194" s="17">
        <v>18090</v>
      </c>
      <c r="M194" s="17">
        <v>8496</v>
      </c>
      <c r="N194" s="17">
        <v>993</v>
      </c>
      <c r="O194" s="23" t="s">
        <v>319</v>
      </c>
      <c r="P194" s="10">
        <v>39841.143726851849</v>
      </c>
      <c r="Q194" s="20" t="s">
        <v>320</v>
      </c>
      <c r="R194" s="21" t="s">
        <v>321</v>
      </c>
      <c r="S194" s="16" t="s">
        <v>322</v>
      </c>
      <c r="T194" s="15"/>
      <c r="U194" s="14" t="str">
        <f>HYPERLINK("https://pbs.twimg.com/profile_images/719436576632213504/zxGLw13d.jpg","View")</f>
        <v>View</v>
      </c>
    </row>
    <row r="195" spans="1:21" ht="50">
      <c r="A195" s="10">
        <v>43346.251909722225</v>
      </c>
      <c r="B195" s="11" t="str">
        <f>HYPERLINK("https://twitter.com/CriticalSteph","@CriticalSteph")</f>
        <v>@CriticalSteph</v>
      </c>
      <c r="C195" s="12" t="s">
        <v>209</v>
      </c>
      <c r="D195" s="13" t="s">
        <v>588</v>
      </c>
      <c r="E195" s="14" t="str">
        <f>HYPERLINK("https://twitter.com/CriticalSteph/status/1036600386054971394","1036600386054971394")</f>
        <v>1036600386054971394</v>
      </c>
      <c r="F195" s="15"/>
      <c r="G195" s="15"/>
      <c r="H195" s="15"/>
      <c r="I195" s="17">
        <v>1</v>
      </c>
      <c r="J195" s="17">
        <v>4</v>
      </c>
      <c r="K195" s="18" t="str">
        <f t="shared" ref="K195:K196" si="53">HYPERLINK("http://twitter.com/download/android","Twitter for Android")</f>
        <v>Twitter for Android</v>
      </c>
      <c r="L195" s="17">
        <v>2083</v>
      </c>
      <c r="M195" s="17">
        <v>2189</v>
      </c>
      <c r="N195" s="17">
        <v>140</v>
      </c>
      <c r="O195" s="19"/>
      <c r="P195" s="10">
        <v>39853.082071759258</v>
      </c>
      <c r="Q195" s="20" t="s">
        <v>211</v>
      </c>
      <c r="R195" s="21" t="s">
        <v>212</v>
      </c>
      <c r="S195" s="16" t="s">
        <v>213</v>
      </c>
      <c r="T195" s="15"/>
      <c r="U195" s="14" t="str">
        <f>HYPERLINK("https://pbs.twimg.com/profile_images/619416622705414144/2Tyn4jkC.png","View")</f>
        <v>View</v>
      </c>
    </row>
    <row r="196" spans="1:21" ht="60">
      <c r="A196" s="10">
        <v>43346.251481481479</v>
      </c>
      <c r="B196" s="11" t="str">
        <f>HYPERLINK("https://twitter.com/GeorgiaMallin","@GeorgiaMallin")</f>
        <v>@GeorgiaMallin</v>
      </c>
      <c r="C196" s="12" t="s">
        <v>126</v>
      </c>
      <c r="D196" s="13" t="s">
        <v>589</v>
      </c>
      <c r="E196" s="14" t="str">
        <f>HYPERLINK("https://twitter.com/GeorgiaMallin/status/1036600227699019777","1036600227699019777")</f>
        <v>1036600227699019777</v>
      </c>
      <c r="F196" s="16" t="s">
        <v>590</v>
      </c>
      <c r="G196" s="16" t="s">
        <v>591</v>
      </c>
      <c r="H196" s="15"/>
      <c r="I196" s="17">
        <v>1</v>
      </c>
      <c r="J196" s="17">
        <v>2</v>
      </c>
      <c r="K196" s="18" t="str">
        <f t="shared" si="53"/>
        <v>Twitter for Android</v>
      </c>
      <c r="L196" s="17">
        <v>528</v>
      </c>
      <c r="M196" s="17">
        <v>1025</v>
      </c>
      <c r="N196" s="17">
        <v>11</v>
      </c>
      <c r="O196" s="19"/>
      <c r="P196" s="10">
        <v>40905.701087962967</v>
      </c>
      <c r="Q196" s="20" t="s">
        <v>41</v>
      </c>
      <c r="R196" s="21" t="s">
        <v>128</v>
      </c>
      <c r="S196" s="15"/>
      <c r="T196" s="15"/>
      <c r="U196" s="14" t="str">
        <f>HYPERLINK("https://pbs.twimg.com/profile_images/874631103193206784/akQp_6iv.jpg","View")</f>
        <v>View</v>
      </c>
    </row>
    <row r="197" spans="1:21" ht="50">
      <c r="A197" s="10">
        <v>43346.251423611116</v>
      </c>
      <c r="B197" s="11" t="str">
        <f>HYPERLINK("https://twitter.com/MarDixon","@MarDixon")</f>
        <v>@MarDixon</v>
      </c>
      <c r="C197" s="12" t="s">
        <v>317</v>
      </c>
      <c r="D197" s="13" t="s">
        <v>592</v>
      </c>
      <c r="E197" s="14" t="str">
        <f>HYPERLINK("https://twitter.com/MarDixon/status/1036600209952989186","1036600209952989186")</f>
        <v>1036600209952989186</v>
      </c>
      <c r="F197" s="15"/>
      <c r="G197" s="16" t="s">
        <v>593</v>
      </c>
      <c r="H197" s="15"/>
      <c r="I197" s="17">
        <v>1</v>
      </c>
      <c r="J197" s="17">
        <v>6</v>
      </c>
      <c r="K197" s="18" t="str">
        <f>HYPERLINK("http://twitter.com/download/iphone","Twitter for iPhone")</f>
        <v>Twitter for iPhone</v>
      </c>
      <c r="L197" s="17">
        <v>18090</v>
      </c>
      <c r="M197" s="17">
        <v>8496</v>
      </c>
      <c r="N197" s="17">
        <v>993</v>
      </c>
      <c r="O197" s="23" t="s">
        <v>319</v>
      </c>
      <c r="P197" s="10">
        <v>39841.143726851849</v>
      </c>
      <c r="Q197" s="20" t="s">
        <v>320</v>
      </c>
      <c r="R197" s="21" t="s">
        <v>321</v>
      </c>
      <c r="S197" s="16" t="s">
        <v>322</v>
      </c>
      <c r="T197" s="15"/>
      <c r="U197" s="14" t="str">
        <f>HYPERLINK("https://pbs.twimg.com/profile_images/719436576632213504/zxGLw13d.jpg","View")</f>
        <v>View</v>
      </c>
    </row>
    <row r="198" spans="1:21" ht="40">
      <c r="A198" s="10">
        <v>43346.249664351853</v>
      </c>
      <c r="B198" s="11" t="str">
        <f>HYPERLINK("https://twitter.com/GeorgiaMallin","@GeorgiaMallin")</f>
        <v>@GeorgiaMallin</v>
      </c>
      <c r="C198" s="12" t="s">
        <v>126</v>
      </c>
      <c r="D198" s="13" t="s">
        <v>594</v>
      </c>
      <c r="E198" s="14" t="str">
        <f>HYPERLINK("https://twitter.com/GeorgiaMallin/status/1036599570669678593","1036599570669678593")</f>
        <v>1036599570669678593</v>
      </c>
      <c r="F198" s="16" t="s">
        <v>595</v>
      </c>
      <c r="G198" s="16" t="s">
        <v>596</v>
      </c>
      <c r="H198" s="15"/>
      <c r="I198" s="17">
        <v>0</v>
      </c>
      <c r="J198" s="17">
        <v>4</v>
      </c>
      <c r="K198" s="18" t="str">
        <f t="shared" ref="K198:K200" si="54">HYPERLINK("http://twitter.com/download/android","Twitter for Android")</f>
        <v>Twitter for Android</v>
      </c>
      <c r="L198" s="17">
        <v>528</v>
      </c>
      <c r="M198" s="17">
        <v>1025</v>
      </c>
      <c r="N198" s="17">
        <v>11</v>
      </c>
      <c r="O198" s="19"/>
      <c r="P198" s="10">
        <v>40905.701087962967</v>
      </c>
      <c r="Q198" s="20" t="s">
        <v>41</v>
      </c>
      <c r="R198" s="21" t="s">
        <v>128</v>
      </c>
      <c r="S198" s="15"/>
      <c r="T198" s="15"/>
      <c r="U198" s="14" t="str">
        <f>HYPERLINK("https://pbs.twimg.com/profile_images/874631103193206784/akQp_6iv.jpg","View")</f>
        <v>View</v>
      </c>
    </row>
    <row r="199" spans="1:21" ht="40">
      <c r="A199" s="10">
        <v>43346.249247685184</v>
      </c>
      <c r="B199" s="11" t="str">
        <f>HYPERLINK("https://twitter.com/CriticalSteph","@CriticalSteph")</f>
        <v>@CriticalSteph</v>
      </c>
      <c r="C199" s="12" t="s">
        <v>209</v>
      </c>
      <c r="D199" s="13" t="s">
        <v>597</v>
      </c>
      <c r="E199" s="14" t="str">
        <f>HYPERLINK("https://twitter.com/CriticalSteph/status/1036599420614266880","1036599420614266880")</f>
        <v>1036599420614266880</v>
      </c>
      <c r="F199" s="15"/>
      <c r="G199" s="15"/>
      <c r="H199" s="15"/>
      <c r="I199" s="17">
        <v>1</v>
      </c>
      <c r="J199" s="17">
        <v>1</v>
      </c>
      <c r="K199" s="18" t="str">
        <f t="shared" si="54"/>
        <v>Twitter for Android</v>
      </c>
      <c r="L199" s="17">
        <v>2083</v>
      </c>
      <c r="M199" s="17">
        <v>2189</v>
      </c>
      <c r="N199" s="17">
        <v>140</v>
      </c>
      <c r="O199" s="19"/>
      <c r="P199" s="10">
        <v>39853.082071759258</v>
      </c>
      <c r="Q199" s="20" t="s">
        <v>211</v>
      </c>
      <c r="R199" s="21" t="s">
        <v>212</v>
      </c>
      <c r="S199" s="16" t="s">
        <v>213</v>
      </c>
      <c r="T199" s="15"/>
      <c r="U199" s="14" t="str">
        <f>HYPERLINK("https://pbs.twimg.com/profile_images/619416622705414144/2Tyn4jkC.png","View")</f>
        <v>View</v>
      </c>
    </row>
    <row r="200" spans="1:21" ht="40">
      <c r="A200" s="10">
        <v>43346.249074074076</v>
      </c>
      <c r="B200" s="11" t="str">
        <f>HYPERLINK("https://twitter.com/GeorgiaMallin","@GeorgiaMallin")</f>
        <v>@GeorgiaMallin</v>
      </c>
      <c r="C200" s="12" t="s">
        <v>126</v>
      </c>
      <c r="D200" s="13" t="s">
        <v>598</v>
      </c>
      <c r="E200" s="14" t="str">
        <f>HYPERLINK("https://twitter.com/GeorgiaMallin/status/1036599356273709058","1036599356273709058")</f>
        <v>1036599356273709058</v>
      </c>
      <c r="F200" s="16" t="s">
        <v>504</v>
      </c>
      <c r="G200" s="16" t="s">
        <v>505</v>
      </c>
      <c r="H200" s="15"/>
      <c r="I200" s="17">
        <v>1</v>
      </c>
      <c r="J200" s="17">
        <v>2</v>
      </c>
      <c r="K200" s="18" t="str">
        <f t="shared" si="54"/>
        <v>Twitter for Android</v>
      </c>
      <c r="L200" s="17">
        <v>528</v>
      </c>
      <c r="M200" s="17">
        <v>1025</v>
      </c>
      <c r="N200" s="17">
        <v>11</v>
      </c>
      <c r="O200" s="19"/>
      <c r="P200" s="10">
        <v>40905.701087962967</v>
      </c>
      <c r="Q200" s="20" t="s">
        <v>41</v>
      </c>
      <c r="R200" s="21" t="s">
        <v>128</v>
      </c>
      <c r="S200" s="15"/>
      <c r="T200" s="15"/>
      <c r="U200" s="14" t="str">
        <f>HYPERLINK("https://pbs.twimg.com/profile_images/874631103193206784/akQp_6iv.jpg","View")</f>
        <v>View</v>
      </c>
    </row>
    <row r="201" spans="1:21" ht="50">
      <c r="A201" s="10">
        <v>43346.248854166668</v>
      </c>
      <c r="B201" s="11" t="str">
        <f>HYPERLINK("https://twitter.com/MarDixon","@MarDixon")</f>
        <v>@MarDixon</v>
      </c>
      <c r="C201" s="12" t="s">
        <v>317</v>
      </c>
      <c r="D201" s="13" t="s">
        <v>599</v>
      </c>
      <c r="E201" s="14" t="str">
        <f>HYPERLINK("https://twitter.com/MarDixon/status/1036599278641328130","1036599278641328130")</f>
        <v>1036599278641328130</v>
      </c>
      <c r="F201" s="15"/>
      <c r="G201" s="15"/>
      <c r="H201" s="15"/>
      <c r="I201" s="17">
        <v>1</v>
      </c>
      <c r="J201" s="17">
        <v>1</v>
      </c>
      <c r="K201" s="18" t="str">
        <f>HYPERLINK("http://twitter.com","Twitter Web Client")</f>
        <v>Twitter Web Client</v>
      </c>
      <c r="L201" s="17">
        <v>18090</v>
      </c>
      <c r="M201" s="17">
        <v>8496</v>
      </c>
      <c r="N201" s="17">
        <v>993</v>
      </c>
      <c r="O201" s="23" t="s">
        <v>319</v>
      </c>
      <c r="P201" s="10">
        <v>39841.143726851849</v>
      </c>
      <c r="Q201" s="20" t="s">
        <v>320</v>
      </c>
      <c r="R201" s="21" t="s">
        <v>321</v>
      </c>
      <c r="S201" s="16" t="s">
        <v>322</v>
      </c>
      <c r="T201" s="15"/>
      <c r="U201" s="14" t="str">
        <f>HYPERLINK("https://pbs.twimg.com/profile_images/719436576632213504/zxGLw13d.jpg","View")</f>
        <v>View</v>
      </c>
    </row>
    <row r="202" spans="1:21" ht="20">
      <c r="A202" s="10">
        <v>43346.248819444445</v>
      </c>
      <c r="B202" s="11" t="str">
        <f>HYPERLINK("https://twitter.com/WilliamKilbride","@WilliamKilbride")</f>
        <v>@WilliamKilbride</v>
      </c>
      <c r="C202" s="12" t="s">
        <v>49</v>
      </c>
      <c r="D202" s="13" t="s">
        <v>600</v>
      </c>
      <c r="E202" s="14" t="str">
        <f>HYPERLINK("https://twitter.com/WilliamKilbride/status/1036599265815085056","1036599265815085056")</f>
        <v>1036599265815085056</v>
      </c>
      <c r="F202" s="15"/>
      <c r="G202" s="15"/>
      <c r="H202" s="15"/>
      <c r="I202" s="17">
        <v>2</v>
      </c>
      <c r="J202" s="17">
        <v>3</v>
      </c>
      <c r="K202" s="18" t="str">
        <f>HYPERLINK("http://twitter.com/download/android","Twitter for Android")</f>
        <v>Twitter for Android</v>
      </c>
      <c r="L202" s="17">
        <v>3065</v>
      </c>
      <c r="M202" s="17">
        <v>582</v>
      </c>
      <c r="N202" s="17">
        <v>180</v>
      </c>
      <c r="O202" s="19"/>
      <c r="P202" s="10">
        <v>39917.310949074075</v>
      </c>
      <c r="Q202" s="20" t="s">
        <v>51</v>
      </c>
      <c r="R202" s="21" t="s">
        <v>52</v>
      </c>
      <c r="S202" s="16" t="s">
        <v>53</v>
      </c>
      <c r="T202" s="15"/>
      <c r="U202" s="14" t="str">
        <f>HYPERLINK("https://pbs.twimg.com/profile_images/606802634499080192/ZWLKLGdh.png","View")</f>
        <v>View</v>
      </c>
    </row>
    <row r="203" spans="1:21" ht="40">
      <c r="A203" s="10">
        <v>43346.248217592598</v>
      </c>
      <c r="B203" s="11" t="str">
        <f>HYPERLINK("https://twitter.com/gabbyheffernan","@gabbyheffernan")</f>
        <v>@gabbyheffernan</v>
      </c>
      <c r="C203" s="12" t="s">
        <v>443</v>
      </c>
      <c r="D203" s="13" t="s">
        <v>601</v>
      </c>
      <c r="E203" s="14" t="str">
        <f>HYPERLINK("https://twitter.com/gabbyheffernan/status/1036599048034242560","1036599048034242560")</f>
        <v>1036599048034242560</v>
      </c>
      <c r="F203" s="15"/>
      <c r="G203" s="16" t="s">
        <v>602</v>
      </c>
      <c r="H203" s="15"/>
      <c r="I203" s="17">
        <v>1</v>
      </c>
      <c r="J203" s="17">
        <v>2</v>
      </c>
      <c r="K203" s="18" t="str">
        <f>HYPERLINK("http://twitter.com/download/iphone","Twitter for iPhone")</f>
        <v>Twitter for iPhone</v>
      </c>
      <c r="L203" s="17">
        <v>879</v>
      </c>
      <c r="M203" s="17">
        <v>576</v>
      </c>
      <c r="N203" s="17">
        <v>22</v>
      </c>
      <c r="O203" s="19"/>
      <c r="P203" s="10">
        <v>40533.425312499996</v>
      </c>
      <c r="Q203" s="15"/>
      <c r="R203" s="21" t="s">
        <v>446</v>
      </c>
      <c r="S203" s="16" t="s">
        <v>447</v>
      </c>
      <c r="T203" s="15"/>
      <c r="U203" s="14" t="str">
        <f>HYPERLINK("https://pbs.twimg.com/profile_images/691247658246246400/FLXNDfqx.jpg","View")</f>
        <v>View</v>
      </c>
    </row>
    <row r="204" spans="1:21" ht="50">
      <c r="A204" s="10">
        <v>43346.247731481482</v>
      </c>
      <c r="B204" s="11" t="str">
        <f>HYPERLINK("https://twitter.com/GeorgiaMallin","@GeorgiaMallin")</f>
        <v>@GeorgiaMallin</v>
      </c>
      <c r="C204" s="12" t="s">
        <v>126</v>
      </c>
      <c r="D204" s="13" t="s">
        <v>603</v>
      </c>
      <c r="E204" s="14" t="str">
        <f>HYPERLINK("https://twitter.com/GeorgiaMallin/status/1036598869226872838","1036598869226872838")</f>
        <v>1036598869226872838</v>
      </c>
      <c r="F204" s="15"/>
      <c r="G204" s="16" t="s">
        <v>604</v>
      </c>
      <c r="H204" s="15"/>
      <c r="I204" s="17">
        <v>2</v>
      </c>
      <c r="J204" s="17">
        <v>5</v>
      </c>
      <c r="K204" s="18" t="str">
        <f t="shared" ref="K204:K205" si="55">HYPERLINK("http://twitter.com/download/android","Twitter for Android")</f>
        <v>Twitter for Android</v>
      </c>
      <c r="L204" s="17">
        <v>528</v>
      </c>
      <c r="M204" s="17">
        <v>1025</v>
      </c>
      <c r="N204" s="17">
        <v>11</v>
      </c>
      <c r="O204" s="19"/>
      <c r="P204" s="10">
        <v>40905.701087962967</v>
      </c>
      <c r="Q204" s="20" t="s">
        <v>41</v>
      </c>
      <c r="R204" s="21" t="s">
        <v>128</v>
      </c>
      <c r="S204" s="15"/>
      <c r="T204" s="15"/>
      <c r="U204" s="14" t="str">
        <f>HYPERLINK("https://pbs.twimg.com/profile_images/874631103193206784/akQp_6iv.jpg","View")</f>
        <v>View</v>
      </c>
    </row>
    <row r="205" spans="1:21" ht="50">
      <c r="A205" s="10">
        <v>43346.246932870374</v>
      </c>
      <c r="B205" s="11" t="str">
        <f>HYPERLINK("https://twitter.com/CriticalSteph","@CriticalSteph")</f>
        <v>@CriticalSteph</v>
      </c>
      <c r="C205" s="12" t="s">
        <v>209</v>
      </c>
      <c r="D205" s="13" t="s">
        <v>605</v>
      </c>
      <c r="E205" s="14" t="str">
        <f>HYPERLINK("https://twitter.com/CriticalSteph/status/1036598580490977283","1036598580490977283")</f>
        <v>1036598580490977283</v>
      </c>
      <c r="F205" s="15"/>
      <c r="G205" s="15"/>
      <c r="H205" s="15"/>
      <c r="I205" s="17">
        <v>1</v>
      </c>
      <c r="J205" s="17">
        <v>1</v>
      </c>
      <c r="K205" s="18" t="str">
        <f t="shared" si="55"/>
        <v>Twitter for Android</v>
      </c>
      <c r="L205" s="17">
        <v>2083</v>
      </c>
      <c r="M205" s="17">
        <v>2189</v>
      </c>
      <c r="N205" s="17">
        <v>140</v>
      </c>
      <c r="O205" s="19"/>
      <c r="P205" s="10">
        <v>39853.082071759258</v>
      </c>
      <c r="Q205" s="20" t="s">
        <v>211</v>
      </c>
      <c r="R205" s="21" t="s">
        <v>212</v>
      </c>
      <c r="S205" s="16" t="s">
        <v>213</v>
      </c>
      <c r="T205" s="15"/>
      <c r="U205" s="14" t="str">
        <f>HYPERLINK("https://pbs.twimg.com/profile_images/619416622705414144/2Tyn4jkC.png","View")</f>
        <v>View</v>
      </c>
    </row>
    <row r="206" spans="1:21" ht="50">
      <c r="A206" s="10">
        <v>43346.246550925927</v>
      </c>
      <c r="B206" s="11" t="str">
        <f>HYPERLINK("https://twitter.com/paulstewart90","@paulstewart90")</f>
        <v>@paulstewart90</v>
      </c>
      <c r="C206" s="12" t="s">
        <v>606</v>
      </c>
      <c r="D206" s="13" t="s">
        <v>607</v>
      </c>
      <c r="E206" s="14" t="str">
        <f>HYPERLINK("https://twitter.com/paulstewart90/status/1036598440791343104","1036598440791343104")</f>
        <v>1036598440791343104</v>
      </c>
      <c r="F206" s="15"/>
      <c r="G206" s="15"/>
      <c r="H206" s="15"/>
      <c r="I206" s="17">
        <v>5</v>
      </c>
      <c r="J206" s="17">
        <v>4</v>
      </c>
      <c r="K206" s="18" t="str">
        <f>HYPERLINK("http://twitter.com/download/iphone","Twitter for iPhone")</f>
        <v>Twitter for iPhone</v>
      </c>
      <c r="L206" s="17">
        <v>185</v>
      </c>
      <c r="M206" s="17">
        <v>294</v>
      </c>
      <c r="N206" s="17">
        <v>12</v>
      </c>
      <c r="O206" s="19"/>
      <c r="P206" s="10">
        <v>39989.485231481478</v>
      </c>
      <c r="Q206" s="20" t="s">
        <v>56</v>
      </c>
      <c r="R206" s="21" t="s">
        <v>608</v>
      </c>
      <c r="S206" s="16" t="s">
        <v>609</v>
      </c>
      <c r="T206" s="15"/>
      <c r="U206" s="14" t="str">
        <f>HYPERLINK("https://pbs.twimg.com/profile_images/691943262853144577/lljEOJ4W.png","View")</f>
        <v>View</v>
      </c>
    </row>
    <row r="207" spans="1:21" ht="30">
      <c r="A207" s="10">
        <v>43346.245972222227</v>
      </c>
      <c r="B207" s="11" t="str">
        <f>HYPERLINK("https://twitter.com/WilliamKilbride","@WilliamKilbride")</f>
        <v>@WilliamKilbride</v>
      </c>
      <c r="C207" s="12" t="s">
        <v>49</v>
      </c>
      <c r="D207" s="13" t="s">
        <v>610</v>
      </c>
      <c r="E207" s="14" t="str">
        <f>HYPERLINK("https://twitter.com/WilliamKilbride/status/1036598232321798144","1036598232321798144")</f>
        <v>1036598232321798144</v>
      </c>
      <c r="F207" s="15"/>
      <c r="G207" s="15"/>
      <c r="H207" s="15"/>
      <c r="I207" s="17">
        <v>1</v>
      </c>
      <c r="J207" s="17">
        <v>1</v>
      </c>
      <c r="K207" s="18" t="str">
        <f t="shared" ref="K207:K208" si="56">HYPERLINK("http://twitter.com/download/android","Twitter for Android")</f>
        <v>Twitter for Android</v>
      </c>
      <c r="L207" s="17">
        <v>3065</v>
      </c>
      <c r="M207" s="17">
        <v>582</v>
      </c>
      <c r="N207" s="17">
        <v>180</v>
      </c>
      <c r="O207" s="19"/>
      <c r="P207" s="10">
        <v>39917.310949074075</v>
      </c>
      <c r="Q207" s="20" t="s">
        <v>51</v>
      </c>
      <c r="R207" s="21" t="s">
        <v>52</v>
      </c>
      <c r="S207" s="16" t="s">
        <v>53</v>
      </c>
      <c r="T207" s="15"/>
      <c r="U207" s="14" t="str">
        <f>HYPERLINK("https://pbs.twimg.com/profile_images/606802634499080192/ZWLKLGdh.png","View")</f>
        <v>View</v>
      </c>
    </row>
    <row r="208" spans="1:21" ht="20">
      <c r="A208" s="10">
        <v>43346.245532407411</v>
      </c>
      <c r="B208" s="11" t="str">
        <f>HYPERLINK("https://twitter.com/Sarah_DPC","@Sarah_DPC")</f>
        <v>@Sarah_DPC</v>
      </c>
      <c r="C208" s="12" t="s">
        <v>178</v>
      </c>
      <c r="D208" s="13" t="s">
        <v>611</v>
      </c>
      <c r="E208" s="14" t="str">
        <f>HYPERLINK("https://twitter.com/Sarah_DPC/status/1036598073970094080","1036598073970094080")</f>
        <v>1036598073970094080</v>
      </c>
      <c r="F208" s="15"/>
      <c r="G208" s="16" t="s">
        <v>612</v>
      </c>
      <c r="H208" s="15"/>
      <c r="I208" s="17">
        <v>1</v>
      </c>
      <c r="J208" s="17">
        <v>3</v>
      </c>
      <c r="K208" s="18" t="str">
        <f t="shared" si="56"/>
        <v>Twitter for Android</v>
      </c>
      <c r="L208" s="17">
        <v>1270</v>
      </c>
      <c r="M208" s="17">
        <v>715</v>
      </c>
      <c r="N208" s="17">
        <v>51</v>
      </c>
      <c r="O208" s="19"/>
      <c r="P208" s="10">
        <v>41373.188576388886</v>
      </c>
      <c r="Q208" s="20" t="s">
        <v>180</v>
      </c>
      <c r="R208" s="21" t="s">
        <v>181</v>
      </c>
      <c r="S208" s="16" t="s">
        <v>182</v>
      </c>
      <c r="T208" s="15"/>
      <c r="U208" s="14" t="str">
        <f>HYPERLINK("https://pbs.twimg.com/profile_images/867263862726434816/K2qoO6sD.jpg","View")</f>
        <v>View</v>
      </c>
    </row>
    <row r="209" spans="1:21" ht="50">
      <c r="A209" s="10">
        <v>43346.245046296295</v>
      </c>
      <c r="B209" s="11" t="str">
        <f t="shared" ref="B209:B210" si="57">HYPERLINK("https://twitter.com/MarDixon","@MarDixon")</f>
        <v>@MarDixon</v>
      </c>
      <c r="C209" s="12" t="s">
        <v>317</v>
      </c>
      <c r="D209" s="13" t="s">
        <v>613</v>
      </c>
      <c r="E209" s="14" t="str">
        <f>HYPERLINK("https://twitter.com/MarDixon/status/1036597896567836672","1036597896567836672")</f>
        <v>1036597896567836672</v>
      </c>
      <c r="F209" s="15"/>
      <c r="G209" s="16" t="s">
        <v>614</v>
      </c>
      <c r="H209" s="15"/>
      <c r="I209" s="17">
        <v>1</v>
      </c>
      <c r="J209" s="17">
        <v>1</v>
      </c>
      <c r="K209" s="18" t="str">
        <f t="shared" ref="K209:K210" si="58">HYPERLINK("http://twitter.com/download/iphone","Twitter for iPhone")</f>
        <v>Twitter for iPhone</v>
      </c>
      <c r="L209" s="17">
        <v>18090</v>
      </c>
      <c r="M209" s="17">
        <v>8496</v>
      </c>
      <c r="N209" s="17">
        <v>993</v>
      </c>
      <c r="O209" s="23" t="s">
        <v>319</v>
      </c>
      <c r="P209" s="10">
        <v>39841.143726851849</v>
      </c>
      <c r="Q209" s="20" t="s">
        <v>320</v>
      </c>
      <c r="R209" s="21" t="s">
        <v>321</v>
      </c>
      <c r="S209" s="16" t="s">
        <v>322</v>
      </c>
      <c r="T209" s="15"/>
      <c r="U209" s="14" t="str">
        <f t="shared" ref="U209:U210" si="59">HYPERLINK("https://pbs.twimg.com/profile_images/719436576632213504/zxGLw13d.jpg","View")</f>
        <v>View</v>
      </c>
    </row>
    <row r="210" spans="1:21" ht="50">
      <c r="A210" s="10">
        <v>43346.243958333333</v>
      </c>
      <c r="B210" s="11" t="str">
        <f t="shared" si="57"/>
        <v>@MarDixon</v>
      </c>
      <c r="C210" s="12" t="s">
        <v>317</v>
      </c>
      <c r="D210" s="13" t="s">
        <v>615</v>
      </c>
      <c r="E210" s="14" t="str">
        <f>HYPERLINK("https://twitter.com/MarDixon/status/1036597503532122112","1036597503532122112")</f>
        <v>1036597503532122112</v>
      </c>
      <c r="F210" s="15"/>
      <c r="G210" s="16" t="s">
        <v>616</v>
      </c>
      <c r="H210" s="15"/>
      <c r="I210" s="17">
        <v>1</v>
      </c>
      <c r="J210" s="17">
        <v>2</v>
      </c>
      <c r="K210" s="18" t="str">
        <f t="shared" si="58"/>
        <v>Twitter for iPhone</v>
      </c>
      <c r="L210" s="17">
        <v>18090</v>
      </c>
      <c r="M210" s="17">
        <v>8496</v>
      </c>
      <c r="N210" s="17">
        <v>993</v>
      </c>
      <c r="O210" s="23" t="s">
        <v>319</v>
      </c>
      <c r="P210" s="10">
        <v>39841.143726851849</v>
      </c>
      <c r="Q210" s="20" t="s">
        <v>320</v>
      </c>
      <c r="R210" s="21" t="s">
        <v>321</v>
      </c>
      <c r="S210" s="16" t="s">
        <v>322</v>
      </c>
      <c r="T210" s="15"/>
      <c r="U210" s="14" t="str">
        <f t="shared" si="59"/>
        <v>View</v>
      </c>
    </row>
    <row r="211" spans="1:21" ht="30">
      <c r="A211" s="10">
        <v>43346.243321759262</v>
      </c>
      <c r="B211" s="11" t="str">
        <f t="shared" ref="B211:B212" si="60">HYPERLINK("https://twitter.com/CriticalSteph","@CriticalSteph")</f>
        <v>@CriticalSteph</v>
      </c>
      <c r="C211" s="12" t="s">
        <v>209</v>
      </c>
      <c r="D211" s="13" t="s">
        <v>617</v>
      </c>
      <c r="E211" s="14" t="str">
        <f>HYPERLINK("https://twitter.com/CriticalSteph/status/1036597271008366592","1036597271008366592")</f>
        <v>1036597271008366592</v>
      </c>
      <c r="F211" s="15"/>
      <c r="G211" s="16" t="s">
        <v>618</v>
      </c>
      <c r="H211" s="15"/>
      <c r="I211" s="17">
        <v>1</v>
      </c>
      <c r="J211" s="17">
        <v>2</v>
      </c>
      <c r="K211" s="18" t="str">
        <f t="shared" ref="K211:K212" si="61">HYPERLINK("http://twitter.com/download/android","Twitter for Android")</f>
        <v>Twitter for Android</v>
      </c>
      <c r="L211" s="17">
        <v>2083</v>
      </c>
      <c r="M211" s="17">
        <v>2189</v>
      </c>
      <c r="N211" s="17">
        <v>140</v>
      </c>
      <c r="O211" s="19"/>
      <c r="P211" s="10">
        <v>39853.082071759258</v>
      </c>
      <c r="Q211" s="20" t="s">
        <v>211</v>
      </c>
      <c r="R211" s="21" t="s">
        <v>212</v>
      </c>
      <c r="S211" s="16" t="s">
        <v>213</v>
      </c>
      <c r="T211" s="15"/>
      <c r="U211" s="14" t="str">
        <f t="shared" ref="U211:U212" si="62">HYPERLINK("https://pbs.twimg.com/profile_images/619416622705414144/2Tyn4jkC.png","View")</f>
        <v>View</v>
      </c>
    </row>
    <row r="212" spans="1:21" ht="30">
      <c r="A212" s="10">
        <v>43346.243310185186</v>
      </c>
      <c r="B212" s="11" t="str">
        <f t="shared" si="60"/>
        <v>@CriticalSteph</v>
      </c>
      <c r="C212" s="12" t="s">
        <v>209</v>
      </c>
      <c r="D212" s="13" t="s">
        <v>617</v>
      </c>
      <c r="E212" s="14" t="str">
        <f>HYPERLINK("https://twitter.com/CriticalSteph/status/1036597270488276992","1036597270488276992")</f>
        <v>1036597270488276992</v>
      </c>
      <c r="F212" s="15"/>
      <c r="G212" s="16" t="s">
        <v>619</v>
      </c>
      <c r="H212" s="15"/>
      <c r="I212" s="17">
        <v>1</v>
      </c>
      <c r="J212" s="17">
        <v>1</v>
      </c>
      <c r="K212" s="18" t="str">
        <f t="shared" si="61"/>
        <v>Twitter for Android</v>
      </c>
      <c r="L212" s="17">
        <v>2083</v>
      </c>
      <c r="M212" s="17">
        <v>2189</v>
      </c>
      <c r="N212" s="17">
        <v>140</v>
      </c>
      <c r="O212" s="19"/>
      <c r="P212" s="10">
        <v>39853.082071759258</v>
      </c>
      <c r="Q212" s="20" t="s">
        <v>211</v>
      </c>
      <c r="R212" s="21" t="s">
        <v>212</v>
      </c>
      <c r="S212" s="16" t="s">
        <v>213</v>
      </c>
      <c r="T212" s="15"/>
      <c r="U212" s="14" t="str">
        <f t="shared" si="62"/>
        <v>View</v>
      </c>
    </row>
    <row r="213" spans="1:21" ht="40">
      <c r="A213" s="10">
        <v>43346.242905092593</v>
      </c>
      <c r="B213" s="11" t="str">
        <f>HYPERLINK("https://twitter.com/eloisarod","@eloisarod")</f>
        <v>@eloisarod</v>
      </c>
      <c r="C213" s="12" t="s">
        <v>467</v>
      </c>
      <c r="D213" s="13" t="s">
        <v>620</v>
      </c>
      <c r="E213" s="14" t="str">
        <f>HYPERLINK("https://twitter.com/eloisarod/status/1036597122605494272","1036597122605494272")</f>
        <v>1036597122605494272</v>
      </c>
      <c r="F213" s="15"/>
      <c r="G213" s="16" t="s">
        <v>505</v>
      </c>
      <c r="H213" s="15"/>
      <c r="I213" s="17">
        <v>1</v>
      </c>
      <c r="J213" s="17">
        <v>6</v>
      </c>
      <c r="K213" s="18" t="str">
        <f>HYPERLINK("http://twitter.com/download/iphone","Twitter for iPhone")</f>
        <v>Twitter for iPhone</v>
      </c>
      <c r="L213" s="17">
        <v>370</v>
      </c>
      <c r="M213" s="17">
        <v>685</v>
      </c>
      <c r="N213" s="17">
        <v>14</v>
      </c>
      <c r="O213" s="19"/>
      <c r="P213" s="10">
        <v>40350.666979166665</v>
      </c>
      <c r="Q213" s="20" t="s">
        <v>220</v>
      </c>
      <c r="R213" s="21" t="s">
        <v>470</v>
      </c>
      <c r="S213" s="16" t="s">
        <v>471</v>
      </c>
      <c r="T213" s="15"/>
      <c r="U213" s="14" t="str">
        <f>HYPERLINK("https://pbs.twimg.com/profile_images/1030162606047338496/NMXjEz38.jpg","View")</f>
        <v>View</v>
      </c>
    </row>
    <row r="214" spans="1:21" ht="20">
      <c r="A214" s="10">
        <v>43346.242812500001</v>
      </c>
      <c r="B214" s="11" t="str">
        <f>HYPERLINK("https://twitter.com/Sarah_DPC","@Sarah_DPC")</f>
        <v>@Sarah_DPC</v>
      </c>
      <c r="C214" s="12" t="s">
        <v>178</v>
      </c>
      <c r="D214" s="13" t="s">
        <v>621</v>
      </c>
      <c r="E214" s="14" t="str">
        <f>HYPERLINK("https://twitter.com/Sarah_DPC/status/1036597089868935169","1036597089868935169")</f>
        <v>1036597089868935169</v>
      </c>
      <c r="F214" s="15"/>
      <c r="G214" s="15"/>
      <c r="H214" s="15"/>
      <c r="I214" s="17">
        <v>1</v>
      </c>
      <c r="J214" s="17">
        <v>1</v>
      </c>
      <c r="K214" s="18" t="str">
        <f t="shared" ref="K214:K219" si="63">HYPERLINK("http://twitter.com/download/android","Twitter for Android")</f>
        <v>Twitter for Android</v>
      </c>
      <c r="L214" s="17">
        <v>1270</v>
      </c>
      <c r="M214" s="17">
        <v>715</v>
      </c>
      <c r="N214" s="17">
        <v>51</v>
      </c>
      <c r="O214" s="19"/>
      <c r="P214" s="10">
        <v>41373.188576388886</v>
      </c>
      <c r="Q214" s="20" t="s">
        <v>180</v>
      </c>
      <c r="R214" s="21" t="s">
        <v>181</v>
      </c>
      <c r="S214" s="16" t="s">
        <v>182</v>
      </c>
      <c r="T214" s="15"/>
      <c r="U214" s="14" t="str">
        <f>HYPERLINK("https://pbs.twimg.com/profile_images/867263862726434816/K2qoO6sD.jpg","View")</f>
        <v>View</v>
      </c>
    </row>
    <row r="215" spans="1:21" ht="30">
      <c r="A215" s="10">
        <v>43346.242326388892</v>
      </c>
      <c r="B215" s="11" t="str">
        <f>HYPERLINK("https://twitter.com/arranjrees","@arranjrees")</f>
        <v>@arranjrees</v>
      </c>
      <c r="C215" s="12" t="s">
        <v>490</v>
      </c>
      <c r="D215" s="13" t="s">
        <v>622</v>
      </c>
      <c r="E215" s="14" t="str">
        <f>HYPERLINK("https://twitter.com/arranjrees/status/1036596911988506627","1036596911988506627")</f>
        <v>1036596911988506627</v>
      </c>
      <c r="F215" s="15"/>
      <c r="G215" s="16" t="s">
        <v>596</v>
      </c>
      <c r="H215" s="15"/>
      <c r="I215" s="17">
        <v>0</v>
      </c>
      <c r="J215" s="17">
        <v>25</v>
      </c>
      <c r="K215" s="18" t="str">
        <f t="shared" si="63"/>
        <v>Twitter for Android</v>
      </c>
      <c r="L215" s="17">
        <v>1717</v>
      </c>
      <c r="M215" s="17">
        <v>929</v>
      </c>
      <c r="N215" s="17">
        <v>32</v>
      </c>
      <c r="O215" s="19"/>
      <c r="P215" s="10">
        <v>40550.554884259262</v>
      </c>
      <c r="Q215" s="20" t="s">
        <v>458</v>
      </c>
      <c r="R215" s="21" t="s">
        <v>493</v>
      </c>
      <c r="S215" s="16" t="s">
        <v>494</v>
      </c>
      <c r="T215" s="15"/>
      <c r="U215" s="14" t="str">
        <f>HYPERLINK("https://pbs.twimg.com/profile_images/1027536161080860673/iP5ROxDR.jpg","View")</f>
        <v>View</v>
      </c>
    </row>
    <row r="216" spans="1:21" ht="30">
      <c r="A216" s="10">
        <v>43346.240856481483</v>
      </c>
      <c r="B216" s="11" t="str">
        <f>HYPERLINK("https://twitter.com/CriticalSteph","@CriticalSteph")</f>
        <v>@CriticalSteph</v>
      </c>
      <c r="C216" s="12" t="s">
        <v>209</v>
      </c>
      <c r="D216" s="13" t="s">
        <v>623</v>
      </c>
      <c r="E216" s="14" t="str">
        <f>HYPERLINK("https://twitter.com/CriticalSteph/status/1036596379072770048","1036596379072770048")</f>
        <v>1036596379072770048</v>
      </c>
      <c r="F216" s="15"/>
      <c r="G216" s="15"/>
      <c r="H216" s="15"/>
      <c r="I216" s="17">
        <v>1</v>
      </c>
      <c r="J216" s="17">
        <v>5</v>
      </c>
      <c r="K216" s="18" t="str">
        <f t="shared" si="63"/>
        <v>Twitter for Android</v>
      </c>
      <c r="L216" s="17">
        <v>2083</v>
      </c>
      <c r="M216" s="17">
        <v>2189</v>
      </c>
      <c r="N216" s="17">
        <v>140</v>
      </c>
      <c r="O216" s="19"/>
      <c r="P216" s="10">
        <v>39853.082071759258</v>
      </c>
      <c r="Q216" s="20" t="s">
        <v>211</v>
      </c>
      <c r="R216" s="21" t="s">
        <v>212</v>
      </c>
      <c r="S216" s="16" t="s">
        <v>213</v>
      </c>
      <c r="T216" s="15"/>
      <c r="U216" s="14" t="str">
        <f>HYPERLINK("https://pbs.twimg.com/profile_images/619416622705414144/2Tyn4jkC.png","View")</f>
        <v>View</v>
      </c>
    </row>
    <row r="217" spans="1:21" ht="50">
      <c r="A217" s="10">
        <v>43346.240312499998</v>
      </c>
      <c r="B217" s="11" t="str">
        <f>HYPERLINK("https://twitter.com/Tom_Ensom","@Tom_Ensom")</f>
        <v>@Tom_Ensom</v>
      </c>
      <c r="C217" s="12" t="s">
        <v>310</v>
      </c>
      <c r="D217" s="13" t="s">
        <v>624</v>
      </c>
      <c r="E217" s="14" t="str">
        <f>HYPERLINK("https://twitter.com/Tom_Ensom/status/1036596183035195392","1036596183035195392")</f>
        <v>1036596183035195392</v>
      </c>
      <c r="F217" s="15"/>
      <c r="G217" s="16" t="s">
        <v>625</v>
      </c>
      <c r="H217" s="15"/>
      <c r="I217" s="17">
        <v>9</v>
      </c>
      <c r="J217" s="17">
        <v>15</v>
      </c>
      <c r="K217" s="18" t="str">
        <f t="shared" si="63"/>
        <v>Twitter for Android</v>
      </c>
      <c r="L217" s="17">
        <v>175</v>
      </c>
      <c r="M217" s="17">
        <v>197</v>
      </c>
      <c r="N217" s="17">
        <v>9</v>
      </c>
      <c r="O217" s="19"/>
      <c r="P217" s="10">
        <v>41445.161956018521</v>
      </c>
      <c r="Q217" s="20" t="s">
        <v>56</v>
      </c>
      <c r="R217" s="21" t="s">
        <v>313</v>
      </c>
      <c r="S217" s="16" t="s">
        <v>314</v>
      </c>
      <c r="T217" s="15"/>
      <c r="U217" s="14" t="str">
        <f>HYPERLINK("https://pbs.twimg.com/profile_images/998950345316253696/aPBqdqqW.jpg","View")</f>
        <v>View</v>
      </c>
    </row>
    <row r="218" spans="1:21" ht="20">
      <c r="A218" s="10">
        <v>43346.236168981486</v>
      </c>
      <c r="B218" s="11" t="str">
        <f>HYPERLINK("https://twitter.com/TrionaWh","@TrionaWh")</f>
        <v>@TrionaWh</v>
      </c>
      <c r="C218" s="12" t="s">
        <v>626</v>
      </c>
      <c r="D218" s="13" t="s">
        <v>627</v>
      </c>
      <c r="E218" s="14" t="str">
        <f>HYPERLINK("https://twitter.com/TrionaWh/status/1036594681155608576","1036594681155608576")</f>
        <v>1036594681155608576</v>
      </c>
      <c r="F218" s="15"/>
      <c r="G218" s="16" t="s">
        <v>628</v>
      </c>
      <c r="H218" s="15"/>
      <c r="I218" s="17">
        <v>1</v>
      </c>
      <c r="J218" s="17">
        <v>4</v>
      </c>
      <c r="K218" s="18" t="str">
        <f t="shared" si="63"/>
        <v>Twitter for Android</v>
      </c>
      <c r="L218" s="17">
        <v>115</v>
      </c>
      <c r="M218" s="17">
        <v>457</v>
      </c>
      <c r="N218" s="17">
        <v>0</v>
      </c>
      <c r="O218" s="19"/>
      <c r="P218" s="10">
        <v>42836.567407407405</v>
      </c>
      <c r="Q218" s="20" t="s">
        <v>28</v>
      </c>
      <c r="R218" s="21" t="s">
        <v>629</v>
      </c>
      <c r="S218" s="15"/>
      <c r="T218" s="15"/>
      <c r="U218" s="14" t="str">
        <f>HYPERLINK("https://pbs.twimg.com/profile_images/901176793398484994/rX64RYTA.jpg","View")</f>
        <v>View</v>
      </c>
    </row>
    <row r="219" spans="1:21" ht="40">
      <c r="A219" s="10">
        <v>43346.231944444444</v>
      </c>
      <c r="B219" s="11" t="str">
        <f>HYPERLINK("https://twitter.com/Becky_Museums","@Becky_Museums")</f>
        <v>@Becky_Museums</v>
      </c>
      <c r="C219" s="12" t="s">
        <v>630</v>
      </c>
      <c r="D219" s="13" t="s">
        <v>631</v>
      </c>
      <c r="E219" s="14" t="str">
        <f>HYPERLINK("https://twitter.com/Becky_Museums/status/1036593150259810307","1036593150259810307")</f>
        <v>1036593150259810307</v>
      </c>
      <c r="F219" s="15"/>
      <c r="G219" s="16" t="s">
        <v>632</v>
      </c>
      <c r="H219" s="15"/>
      <c r="I219" s="17">
        <v>0</v>
      </c>
      <c r="J219" s="17">
        <v>5</v>
      </c>
      <c r="K219" s="18" t="str">
        <f t="shared" si="63"/>
        <v>Twitter for Android</v>
      </c>
      <c r="L219" s="17">
        <v>118</v>
      </c>
      <c r="M219" s="17">
        <v>126</v>
      </c>
      <c r="N219" s="17">
        <v>2</v>
      </c>
      <c r="O219" s="19"/>
      <c r="P219" s="10">
        <v>41450.41746527778</v>
      </c>
      <c r="Q219" s="20" t="s">
        <v>56</v>
      </c>
      <c r="R219" s="21" t="s">
        <v>633</v>
      </c>
      <c r="S219" s="15"/>
      <c r="T219" s="15"/>
      <c r="U219" s="14" t="str">
        <f>HYPERLINK("https://pbs.twimg.com/profile_images/961023489787428866/K29AXF9e.jpg","View")</f>
        <v>View</v>
      </c>
    </row>
    <row r="220" spans="1:21" ht="50">
      <c r="A220" s="10">
        <v>43346.230162037042</v>
      </c>
      <c r="B220" s="11" t="str">
        <f>HYPERLINK("https://twitter.com/MarDixon","@MarDixon")</f>
        <v>@MarDixon</v>
      </c>
      <c r="C220" s="12" t="s">
        <v>317</v>
      </c>
      <c r="D220" s="13" t="s">
        <v>634</v>
      </c>
      <c r="E220" s="14" t="str">
        <f>HYPERLINK("https://twitter.com/MarDixon/status/1036592505704382464","1036592505704382464")</f>
        <v>1036592505704382464</v>
      </c>
      <c r="F220" s="15"/>
      <c r="G220" s="16" t="s">
        <v>635</v>
      </c>
      <c r="H220" s="15"/>
      <c r="I220" s="17">
        <v>0</v>
      </c>
      <c r="J220" s="17">
        <v>9</v>
      </c>
      <c r="K220" s="18" t="str">
        <f>HYPERLINK("http://twitter.com","Twitter Web Client")</f>
        <v>Twitter Web Client</v>
      </c>
      <c r="L220" s="17">
        <v>18090</v>
      </c>
      <c r="M220" s="17">
        <v>8496</v>
      </c>
      <c r="N220" s="17">
        <v>993</v>
      </c>
      <c r="O220" s="23" t="s">
        <v>319</v>
      </c>
      <c r="P220" s="10">
        <v>39841.143726851849</v>
      </c>
      <c r="Q220" s="20" t="s">
        <v>320</v>
      </c>
      <c r="R220" s="21" t="s">
        <v>321</v>
      </c>
      <c r="S220" s="16" t="s">
        <v>322</v>
      </c>
      <c r="T220" s="15"/>
      <c r="U220" s="14" t="str">
        <f>HYPERLINK("https://pbs.twimg.com/profile_images/719436576632213504/zxGLw13d.jpg","View")</f>
        <v>View</v>
      </c>
    </row>
    <row r="221" spans="1:21" ht="40">
      <c r="A221" s="10">
        <v>43346.229421296295</v>
      </c>
      <c r="B221" s="11" t="str">
        <f>HYPERLINK("https://twitter.com/Becky_Museums","@Becky_Museums")</f>
        <v>@Becky_Museums</v>
      </c>
      <c r="C221" s="12" t="s">
        <v>630</v>
      </c>
      <c r="D221" s="13" t="s">
        <v>636</v>
      </c>
      <c r="E221" s="14" t="str">
        <f>HYPERLINK("https://twitter.com/Becky_Museums/status/1036592236086128641","1036592236086128641")</f>
        <v>1036592236086128641</v>
      </c>
      <c r="F221" s="15"/>
      <c r="G221" s="16" t="s">
        <v>637</v>
      </c>
      <c r="H221" s="15"/>
      <c r="I221" s="17">
        <v>0</v>
      </c>
      <c r="J221" s="17">
        <v>3</v>
      </c>
      <c r="K221" s="18" t="str">
        <f>HYPERLINK("http://twitter.com/download/android","Twitter for Android")</f>
        <v>Twitter for Android</v>
      </c>
      <c r="L221" s="17">
        <v>118</v>
      </c>
      <c r="M221" s="17">
        <v>126</v>
      </c>
      <c r="N221" s="17">
        <v>2</v>
      </c>
      <c r="O221" s="19"/>
      <c r="P221" s="10">
        <v>41450.41746527778</v>
      </c>
      <c r="Q221" s="20" t="s">
        <v>56</v>
      </c>
      <c r="R221" s="21" t="s">
        <v>633</v>
      </c>
      <c r="S221" s="15"/>
      <c r="T221" s="15"/>
      <c r="U221" s="14" t="str">
        <f>HYPERLINK("https://pbs.twimg.com/profile_images/961023489787428866/K29AXF9e.jpg","View")</f>
        <v>View</v>
      </c>
    </row>
    <row r="222" spans="1:21" ht="30">
      <c r="A222" s="10">
        <v>43346.228900462964</v>
      </c>
      <c r="B222" s="11" t="str">
        <f>HYPERLINK("https://twitter.com/mikejonesmelb","@mikejonesmelb")</f>
        <v>@mikejonesmelb</v>
      </c>
      <c r="C222" s="12" t="s">
        <v>638</v>
      </c>
      <c r="D222" s="13" t="s">
        <v>639</v>
      </c>
      <c r="E222" s="14" t="str">
        <f>HYPERLINK("https://twitter.com/mikejonesmelb/status/1036592046583083009","1036592046583083009")</f>
        <v>1036592046583083009</v>
      </c>
      <c r="F222" s="15"/>
      <c r="G222" s="15"/>
      <c r="H222" s="15"/>
      <c r="I222" s="17">
        <v>0</v>
      </c>
      <c r="J222" s="17">
        <v>2</v>
      </c>
      <c r="K222" s="18" t="str">
        <f>HYPERLINK("http://tapbots.com/tweetbot","Tweetbot for iΟS")</f>
        <v>Tweetbot for iΟS</v>
      </c>
      <c r="L222" s="17">
        <v>3189</v>
      </c>
      <c r="M222" s="17">
        <v>1570</v>
      </c>
      <c r="N222" s="17">
        <v>277</v>
      </c>
      <c r="O222" s="19"/>
      <c r="P222" s="10">
        <v>40823.690057870372</v>
      </c>
      <c r="Q222" s="20" t="s">
        <v>640</v>
      </c>
      <c r="R222" s="21" t="s">
        <v>641</v>
      </c>
      <c r="S222" s="16" t="s">
        <v>642</v>
      </c>
      <c r="T222" s="15"/>
      <c r="U222" s="14" t="str">
        <f>HYPERLINK("https://pbs.twimg.com/profile_images/1577505685/ProfilePic.jpg","View")</f>
        <v>View</v>
      </c>
    </row>
    <row r="223" spans="1:21" ht="30">
      <c r="A223" s="10">
        <v>43346.224062499998</v>
      </c>
      <c r="B223" s="11" t="str">
        <f>HYPERLINK("https://twitter.com/FagAshLilith","@FagAshLilith")</f>
        <v>@FagAshLilith</v>
      </c>
      <c r="C223" s="12" t="s">
        <v>151</v>
      </c>
      <c r="D223" s="13" t="s">
        <v>643</v>
      </c>
      <c r="E223" s="14" t="str">
        <f>HYPERLINK("https://twitter.com/FagAshLilith/status/1036590291762012160","1036590291762012160")</f>
        <v>1036590291762012160</v>
      </c>
      <c r="F223" s="15"/>
      <c r="G223" s="16" t="s">
        <v>591</v>
      </c>
      <c r="H223" s="15"/>
      <c r="I223" s="17">
        <v>2</v>
      </c>
      <c r="J223" s="17">
        <v>9</v>
      </c>
      <c r="K223" s="18" t="str">
        <f>HYPERLINK("http://twitter.com/download/android","Twitter for Android")</f>
        <v>Twitter for Android</v>
      </c>
      <c r="L223" s="17">
        <v>455</v>
      </c>
      <c r="M223" s="17">
        <v>1208</v>
      </c>
      <c r="N223" s="17">
        <v>8</v>
      </c>
      <c r="O223" s="19"/>
      <c r="P223" s="10">
        <v>42936.701747685191</v>
      </c>
      <c r="Q223" s="15"/>
      <c r="R223" s="21" t="s">
        <v>153</v>
      </c>
      <c r="S223" s="15"/>
      <c r="T223" s="15"/>
      <c r="U223" s="14" t="str">
        <f>HYPERLINK("https://pbs.twimg.com/profile_images/893051860256301057/BcsusmCO.jpg","View")</f>
        <v>View</v>
      </c>
    </row>
    <row r="224" spans="1:21" ht="50">
      <c r="A224" s="10">
        <v>43346.221631944441</v>
      </c>
      <c r="B224" s="11" t="str">
        <f>HYPERLINK("https://twitter.com/MarDixon","@MarDixon")</f>
        <v>@MarDixon</v>
      </c>
      <c r="C224" s="12" t="s">
        <v>317</v>
      </c>
      <c r="D224" s="13" t="s">
        <v>644</v>
      </c>
      <c r="E224" s="14" t="str">
        <f>HYPERLINK("https://twitter.com/MarDixon/status/1036589413999017985","1036589413999017985")</f>
        <v>1036589413999017985</v>
      </c>
      <c r="F224" s="15"/>
      <c r="G224" s="16" t="s">
        <v>645</v>
      </c>
      <c r="H224" s="15"/>
      <c r="I224" s="17">
        <v>1</v>
      </c>
      <c r="J224" s="17">
        <v>5</v>
      </c>
      <c r="K224" s="18" t="str">
        <f>HYPERLINK("http://twitter.com/download/iphone","Twitter for iPhone")</f>
        <v>Twitter for iPhone</v>
      </c>
      <c r="L224" s="17">
        <v>18090</v>
      </c>
      <c r="M224" s="17">
        <v>8496</v>
      </c>
      <c r="N224" s="17">
        <v>993</v>
      </c>
      <c r="O224" s="23" t="s">
        <v>319</v>
      </c>
      <c r="P224" s="10">
        <v>39841.143726851849</v>
      </c>
      <c r="Q224" s="20" t="s">
        <v>320</v>
      </c>
      <c r="R224" s="21" t="s">
        <v>321</v>
      </c>
      <c r="S224" s="16" t="s">
        <v>322</v>
      </c>
      <c r="T224" s="15"/>
      <c r="U224" s="14" t="str">
        <f>HYPERLINK("https://pbs.twimg.com/profile_images/719436576632213504/zxGLw13d.jpg","View")</f>
        <v>View</v>
      </c>
    </row>
    <row r="225" spans="1:21" ht="50">
      <c r="A225" s="10">
        <v>43346.220601851848</v>
      </c>
      <c r="B225" s="11" t="str">
        <f>HYPERLINK("https://twitter.com/melindahaunton","@melindahaunton")</f>
        <v>@melindahaunton</v>
      </c>
      <c r="C225" s="12" t="s">
        <v>646</v>
      </c>
      <c r="D225" s="13" t="s">
        <v>647</v>
      </c>
      <c r="E225" s="14" t="str">
        <f>HYPERLINK("https://twitter.com/melindahaunton/status/1036589037757390848","1036589037757390848")</f>
        <v>1036589037757390848</v>
      </c>
      <c r="F225" s="15"/>
      <c r="G225" s="15"/>
      <c r="H225" s="15"/>
      <c r="I225" s="17">
        <v>1</v>
      </c>
      <c r="J225" s="17">
        <v>16</v>
      </c>
      <c r="K225" s="18" t="str">
        <f>HYPERLINK("http://twitter.com","Twitter Web Client")</f>
        <v>Twitter Web Client</v>
      </c>
      <c r="L225" s="17">
        <v>2318</v>
      </c>
      <c r="M225" s="17">
        <v>2142</v>
      </c>
      <c r="N225" s="17">
        <v>136</v>
      </c>
      <c r="O225" s="19"/>
      <c r="P225" s="10">
        <v>39992.485763888893</v>
      </c>
      <c r="Q225" s="20" t="s">
        <v>56</v>
      </c>
      <c r="R225" s="21" t="s">
        <v>648</v>
      </c>
      <c r="S225" s="15"/>
      <c r="T225" s="15"/>
      <c r="U225" s="14" t="str">
        <f>HYPERLINK("https://pbs.twimg.com/profile_images/378800000801922006/992d667eb693e52ec8c4525ec94de6bb.jpeg","View")</f>
        <v>View</v>
      </c>
    </row>
    <row r="226" spans="1:21" ht="30">
      <c r="A226" s="10">
        <v>43346.208321759259</v>
      </c>
      <c r="B226" s="11" t="str">
        <f>HYPERLINK("https://twitter.com/FagAshLilith","@FagAshLilith")</f>
        <v>@FagAshLilith</v>
      </c>
      <c r="C226" s="12" t="s">
        <v>151</v>
      </c>
      <c r="D226" s="13" t="s">
        <v>649</v>
      </c>
      <c r="E226" s="14" t="str">
        <f>HYPERLINK("https://twitter.com/FagAshLilith/status/1036584588565471234","1036584588565471234")</f>
        <v>1036584588565471234</v>
      </c>
      <c r="F226" s="15"/>
      <c r="G226" s="15"/>
      <c r="H226" s="15"/>
      <c r="I226" s="17">
        <v>2</v>
      </c>
      <c r="J226" s="17">
        <v>3</v>
      </c>
      <c r="K226" s="18" t="str">
        <f>HYPERLINK("http://twitter.com/download/android","Twitter for Android")</f>
        <v>Twitter for Android</v>
      </c>
      <c r="L226" s="17">
        <v>455</v>
      </c>
      <c r="M226" s="17">
        <v>1208</v>
      </c>
      <c r="N226" s="17">
        <v>8</v>
      </c>
      <c r="O226" s="19"/>
      <c r="P226" s="10">
        <v>42936.701747685191</v>
      </c>
      <c r="Q226" s="15"/>
      <c r="R226" s="21" t="s">
        <v>153</v>
      </c>
      <c r="S226" s="15"/>
      <c r="T226" s="15"/>
      <c r="U226" s="14" t="str">
        <f>HYPERLINK("https://pbs.twimg.com/profile_images/893051860256301057/BcsusmCO.jpg","View")</f>
        <v>View</v>
      </c>
    </row>
    <row r="227" spans="1:21" ht="30">
      <c r="A227" s="10">
        <v>43346.206724537042</v>
      </c>
      <c r="B227" s="11" t="str">
        <f>HYPERLINK("https://twitter.com/sophiemisson","@sophiemisson")</f>
        <v>@sophiemisson</v>
      </c>
      <c r="C227" s="12" t="s">
        <v>134</v>
      </c>
      <c r="D227" s="13" t="s">
        <v>650</v>
      </c>
      <c r="E227" s="14" t="str">
        <f>HYPERLINK("https://twitter.com/sophiemisson/status/1036584009244061696","1036584009244061696")</f>
        <v>1036584009244061696</v>
      </c>
      <c r="F227" s="15"/>
      <c r="G227" s="16" t="s">
        <v>651</v>
      </c>
      <c r="H227" s="15"/>
      <c r="I227" s="17">
        <v>2</v>
      </c>
      <c r="J227" s="17">
        <v>15</v>
      </c>
      <c r="K227" s="18" t="str">
        <f>HYPERLINK("http://twitter.com/download/iphone","Twitter for iPhone")</f>
        <v>Twitter for iPhone</v>
      </c>
      <c r="L227" s="17">
        <v>280</v>
      </c>
      <c r="M227" s="17">
        <v>384</v>
      </c>
      <c r="N227" s="17">
        <v>4</v>
      </c>
      <c r="O227" s="19"/>
      <c r="P227" s="10">
        <v>42431.143541666665</v>
      </c>
      <c r="Q227" s="15"/>
      <c r="R227" s="21" t="s">
        <v>136</v>
      </c>
      <c r="S227" s="16" t="s">
        <v>137</v>
      </c>
      <c r="T227" s="15"/>
      <c r="U227" s="14" t="str">
        <f>HYPERLINK("https://pbs.twimg.com/profile_images/704993450496823296/oFcMskJc.jpg","View")</f>
        <v>View</v>
      </c>
    </row>
    <row r="228" spans="1:21" ht="40">
      <c r="A228" s="10">
        <v>43346.204328703709</v>
      </c>
      <c r="B228" s="11" t="str">
        <f>HYPERLINK("https://twitter.com/ArtsTechAsia","@ArtsTechAsia")</f>
        <v>@ArtsTechAsia</v>
      </c>
      <c r="C228" s="12" t="s">
        <v>652</v>
      </c>
      <c r="D228" s="13" t="s">
        <v>653</v>
      </c>
      <c r="E228" s="14" t="str">
        <f>HYPERLINK("https://twitter.com/ArtsTechAsia/status/1036583141148962816","1036583141148962816")</f>
        <v>1036583141148962816</v>
      </c>
      <c r="F228" s="16" t="s">
        <v>654</v>
      </c>
      <c r="G228" s="16" t="s">
        <v>655</v>
      </c>
      <c r="H228" s="15"/>
      <c r="I228" s="17">
        <v>0</v>
      </c>
      <c r="J228" s="17">
        <v>0</v>
      </c>
      <c r="K228" s="18" t="str">
        <f>HYPERLINK("http://twitter.com","Twitter Web Client")</f>
        <v>Twitter Web Client</v>
      </c>
      <c r="L228" s="17">
        <v>5484</v>
      </c>
      <c r="M228" s="17">
        <v>1622</v>
      </c>
      <c r="N228" s="17">
        <v>373</v>
      </c>
      <c r="O228" s="19"/>
      <c r="P228" s="10">
        <v>40201.016736111109</v>
      </c>
      <c r="Q228" s="20" t="s">
        <v>656</v>
      </c>
      <c r="R228" s="21" t="s">
        <v>657</v>
      </c>
      <c r="S228" s="15"/>
      <c r="T228" s="15"/>
      <c r="U228" s="14" t="str">
        <f>HYPERLINK("https://pbs.twimg.com/profile_images/974307802062602240/hDmZktxX.jpg","View")</f>
        <v>View</v>
      </c>
    </row>
    <row r="229" spans="1:21" ht="40">
      <c r="A229" s="10">
        <v>43346.204166666663</v>
      </c>
      <c r="B229" s="11" t="str">
        <f>HYPERLINK("https://twitter.com/paulakeogh","@paulakeogh")</f>
        <v>@paulakeogh</v>
      </c>
      <c r="C229" s="12" t="s">
        <v>658</v>
      </c>
      <c r="D229" s="13" t="s">
        <v>659</v>
      </c>
      <c r="E229" s="14" t="str">
        <f>HYPERLINK("https://twitter.com/paulakeogh/status/1036583083494047744","1036583083494047744")</f>
        <v>1036583083494047744</v>
      </c>
      <c r="F229" s="15"/>
      <c r="G229" s="16" t="s">
        <v>660</v>
      </c>
      <c r="H229" s="15"/>
      <c r="I229" s="17">
        <v>1</v>
      </c>
      <c r="J229" s="17">
        <v>2</v>
      </c>
      <c r="K229" s="18" t="str">
        <f>HYPERLINK("http://twitter.com/download/iphone","Twitter for iPhone")</f>
        <v>Twitter for iPhone</v>
      </c>
      <c r="L229" s="17">
        <v>404</v>
      </c>
      <c r="M229" s="17">
        <v>557</v>
      </c>
      <c r="N229" s="17">
        <v>32</v>
      </c>
      <c r="O229" s="19"/>
      <c r="P229" s="10">
        <v>39854.575243055559</v>
      </c>
      <c r="Q229" s="20" t="s">
        <v>661</v>
      </c>
      <c r="R229" s="21" t="s">
        <v>662</v>
      </c>
      <c r="S229" s="16" t="s">
        <v>663</v>
      </c>
      <c r="T229" s="15"/>
      <c r="U229" s="14" t="str">
        <f>HYPERLINK("https://pbs.twimg.com/profile_images/932908395237183488/ZK6vDync.jpg","View")</f>
        <v>View</v>
      </c>
    </row>
    <row r="230" spans="1:21" ht="40">
      <c r="A230" s="10">
        <v>43346.200833333336</v>
      </c>
      <c r="B230" s="11" t="str">
        <f>HYPERLINK("https://twitter.com/ElsaKPrice","@ElsaKPrice")</f>
        <v>@ElsaKPrice</v>
      </c>
      <c r="C230" s="12" t="s">
        <v>485</v>
      </c>
      <c r="D230" s="24" t="s">
        <v>664</v>
      </c>
      <c r="E230" s="14" t="str">
        <f>HYPERLINK("https://twitter.com/ElsaKPrice/status/1036581875840675841","1036581875840675841")</f>
        <v>1036581875840675841</v>
      </c>
      <c r="F230" s="15"/>
      <c r="G230" s="16" t="s">
        <v>665</v>
      </c>
      <c r="H230" s="15"/>
      <c r="I230" s="17">
        <v>3</v>
      </c>
      <c r="J230" s="17">
        <v>7</v>
      </c>
      <c r="K230" s="18" t="str">
        <f>HYPERLINK("http://twitter.com/download/android","Twitter for Android")</f>
        <v>Twitter for Android</v>
      </c>
      <c r="L230" s="17">
        <v>148</v>
      </c>
      <c r="M230" s="17">
        <v>388</v>
      </c>
      <c r="N230" s="17">
        <v>0</v>
      </c>
      <c r="O230" s="19"/>
      <c r="P230" s="10">
        <v>42087.617326388892</v>
      </c>
      <c r="Q230" s="20" t="s">
        <v>487</v>
      </c>
      <c r="R230" s="21" t="s">
        <v>488</v>
      </c>
      <c r="S230" s="16" t="s">
        <v>489</v>
      </c>
      <c r="T230" s="15"/>
      <c r="U230" s="14" t="str">
        <f>HYPERLINK("https://pbs.twimg.com/profile_images/951949742954766336/8shV-chY.jpg","View")</f>
        <v>View</v>
      </c>
    </row>
    <row r="231" spans="1:21" ht="40">
      <c r="A231" s="10">
        <v>43346.19939814815</v>
      </c>
      <c r="B231" s="11" t="str">
        <f>HYPERLINK("https://twitter.com/gabbyheffernan","@gabbyheffernan")</f>
        <v>@gabbyheffernan</v>
      </c>
      <c r="C231" s="12" t="s">
        <v>443</v>
      </c>
      <c r="D231" s="13" t="s">
        <v>666</v>
      </c>
      <c r="E231" s="14" t="str">
        <f>HYPERLINK("https://twitter.com/gabbyheffernan/status/1036581354325127168","1036581354325127168")</f>
        <v>1036581354325127168</v>
      </c>
      <c r="F231" s="15"/>
      <c r="G231" s="16" t="s">
        <v>667</v>
      </c>
      <c r="H231" s="15"/>
      <c r="I231" s="17">
        <v>2</v>
      </c>
      <c r="J231" s="17">
        <v>2</v>
      </c>
      <c r="K231" s="18" t="str">
        <f>HYPERLINK("http://twitter.com/download/iphone","Twitter for iPhone")</f>
        <v>Twitter for iPhone</v>
      </c>
      <c r="L231" s="17">
        <v>879</v>
      </c>
      <c r="M231" s="17">
        <v>576</v>
      </c>
      <c r="N231" s="17">
        <v>22</v>
      </c>
      <c r="O231" s="19"/>
      <c r="P231" s="10">
        <v>40533.425312499996</v>
      </c>
      <c r="Q231" s="15"/>
      <c r="R231" s="21" t="s">
        <v>446</v>
      </c>
      <c r="S231" s="16" t="s">
        <v>447</v>
      </c>
      <c r="T231" s="15"/>
      <c r="U231" s="14" t="str">
        <f>HYPERLINK("https://pbs.twimg.com/profile_images/691247658246246400/FLXNDfqx.jpg","View")</f>
        <v>View</v>
      </c>
    </row>
    <row r="232" spans="1:21" ht="50">
      <c r="A232" s="10">
        <v>43346.197430555556</v>
      </c>
      <c r="B232" s="11" t="str">
        <f>HYPERLINK("https://twitter.com/GillianBoll","@GillianBoll")</f>
        <v>@GillianBoll</v>
      </c>
      <c r="C232" s="12" t="s">
        <v>668</v>
      </c>
      <c r="D232" s="13" t="s">
        <v>669</v>
      </c>
      <c r="E232" s="14" t="str">
        <f>HYPERLINK("https://twitter.com/GillianBoll/status/1036580644028145664","1036580644028145664")</f>
        <v>1036580644028145664</v>
      </c>
      <c r="F232" s="20" t="s">
        <v>670</v>
      </c>
      <c r="G232" s="15"/>
      <c r="H232" s="15"/>
      <c r="I232" s="17">
        <v>0</v>
      </c>
      <c r="J232" s="17">
        <v>0</v>
      </c>
      <c r="K232" s="18" t="str">
        <f>HYPERLINK("http://twitter.com/download/android","Twitter for Android")</f>
        <v>Twitter for Android</v>
      </c>
      <c r="L232" s="17">
        <v>265</v>
      </c>
      <c r="M232" s="17">
        <v>1059</v>
      </c>
      <c r="N232" s="17">
        <v>6</v>
      </c>
      <c r="O232" s="19"/>
      <c r="P232" s="10">
        <v>42417.609895833331</v>
      </c>
      <c r="Q232" s="20" t="s">
        <v>671</v>
      </c>
      <c r="R232" s="21" t="s">
        <v>672</v>
      </c>
      <c r="S232" s="15"/>
      <c r="T232" s="15"/>
      <c r="U232" s="14" t="str">
        <f>HYPERLINK("https://pbs.twimg.com/profile_images/700400272921776128/pm-9prF7.jpg","View")</f>
        <v>View</v>
      </c>
    </row>
    <row r="233" spans="1:21" ht="40">
      <c r="A233" s="10">
        <v>43346.197430555556</v>
      </c>
      <c r="B233" s="11" t="str">
        <f>HYPERLINK("https://twitter.com/BL_HMD","@BL_HMD")</f>
        <v>@BL_HMD</v>
      </c>
      <c r="C233" s="12" t="s">
        <v>673</v>
      </c>
      <c r="D233" s="13" t="s">
        <v>674</v>
      </c>
      <c r="E233" s="14" t="str">
        <f>HYPERLINK("https://twitter.com/BL_HMD/status/1036580641981308928","1036580641981308928")</f>
        <v>1036580641981308928</v>
      </c>
      <c r="F233" s="15"/>
      <c r="G233" s="16" t="s">
        <v>675</v>
      </c>
      <c r="H233" s="15"/>
      <c r="I233" s="17">
        <v>1</v>
      </c>
      <c r="J233" s="17">
        <v>8</v>
      </c>
      <c r="K233" s="18" t="str">
        <f>HYPERLINK("http://twitter.com","Twitter Web Client")</f>
        <v>Twitter Web Client</v>
      </c>
      <c r="L233" s="17">
        <v>1001</v>
      </c>
      <c r="M233" s="17">
        <v>220</v>
      </c>
      <c r="N233" s="17">
        <v>29</v>
      </c>
      <c r="O233" s="19"/>
      <c r="P233" s="10">
        <v>43137.989606481482</v>
      </c>
      <c r="Q233" s="15"/>
      <c r="R233" s="21" t="s">
        <v>676</v>
      </c>
      <c r="S233" s="15"/>
      <c r="T233" s="15"/>
      <c r="U233" s="14" t="str">
        <f>HYPERLINK("https://pbs.twimg.com/profile_images/961856307480338432/AzGMBMsk.jpg","View")</f>
        <v>View</v>
      </c>
    </row>
    <row r="234" spans="1:21" ht="40">
      <c r="A234" s="10">
        <v>43346.194571759261</v>
      </c>
      <c r="B234" s="11" t="str">
        <f>HYPERLINK("https://twitter.com/ElsaKPrice","@ElsaKPrice")</f>
        <v>@ElsaKPrice</v>
      </c>
      <c r="C234" s="12" t="s">
        <v>485</v>
      </c>
      <c r="D234" s="13" t="s">
        <v>677</v>
      </c>
      <c r="E234" s="14" t="str">
        <f>HYPERLINK("https://twitter.com/ElsaKPrice/status/1036579606948716544","1036579606948716544")</f>
        <v>1036579606948716544</v>
      </c>
      <c r="F234" s="15"/>
      <c r="G234" s="16" t="s">
        <v>678</v>
      </c>
      <c r="H234" s="15"/>
      <c r="I234" s="17">
        <v>4</v>
      </c>
      <c r="J234" s="17">
        <v>9</v>
      </c>
      <c r="K234" s="18" t="str">
        <f t="shared" ref="K234:K236" si="64">HYPERLINK("http://twitter.com/download/android","Twitter for Android")</f>
        <v>Twitter for Android</v>
      </c>
      <c r="L234" s="17">
        <v>148</v>
      </c>
      <c r="M234" s="17">
        <v>388</v>
      </c>
      <c r="N234" s="17">
        <v>0</v>
      </c>
      <c r="O234" s="19"/>
      <c r="P234" s="10">
        <v>42087.617326388892</v>
      </c>
      <c r="Q234" s="20" t="s">
        <v>487</v>
      </c>
      <c r="R234" s="21" t="s">
        <v>488</v>
      </c>
      <c r="S234" s="16" t="s">
        <v>489</v>
      </c>
      <c r="T234" s="15"/>
      <c r="U234" s="14" t="str">
        <f>HYPERLINK("https://pbs.twimg.com/profile_images/951949742954766336/8shV-chY.jpg","View")</f>
        <v>View</v>
      </c>
    </row>
    <row r="235" spans="1:21" ht="30">
      <c r="A235" s="10">
        <v>43346.19054398148</v>
      </c>
      <c r="B235" s="11" t="str">
        <f>HYPERLINK("https://twitter.com/CriticalSteph","@CriticalSteph")</f>
        <v>@CriticalSteph</v>
      </c>
      <c r="C235" s="12" t="s">
        <v>209</v>
      </c>
      <c r="D235" s="13" t="s">
        <v>679</v>
      </c>
      <c r="E235" s="14" t="str">
        <f>HYPERLINK("https://twitter.com/CriticalSteph/status/1036578145569267712","1036578145569267712")</f>
        <v>1036578145569267712</v>
      </c>
      <c r="F235" s="15"/>
      <c r="G235" s="15"/>
      <c r="H235" s="15"/>
      <c r="I235" s="17">
        <v>2</v>
      </c>
      <c r="J235" s="17">
        <v>5</v>
      </c>
      <c r="K235" s="18" t="str">
        <f t="shared" si="64"/>
        <v>Twitter for Android</v>
      </c>
      <c r="L235" s="17">
        <v>2083</v>
      </c>
      <c r="M235" s="17">
        <v>2189</v>
      </c>
      <c r="N235" s="17">
        <v>140</v>
      </c>
      <c r="O235" s="19"/>
      <c r="P235" s="10">
        <v>39853.082071759258</v>
      </c>
      <c r="Q235" s="20" t="s">
        <v>211</v>
      </c>
      <c r="R235" s="21" t="s">
        <v>212</v>
      </c>
      <c r="S235" s="16" t="s">
        <v>213</v>
      </c>
      <c r="T235" s="15"/>
      <c r="U235" s="14" t="str">
        <f>HYPERLINK("https://pbs.twimg.com/profile_images/619416622705414144/2Tyn4jkC.png","View")</f>
        <v>View</v>
      </c>
    </row>
    <row r="236" spans="1:21" ht="50">
      <c r="A236" s="10">
        <v>43346.190416666665</v>
      </c>
      <c r="B236" s="11" t="str">
        <f>HYPERLINK("https://twitter.com/CaylinSSmith","@CaylinSSmith")</f>
        <v>@CaylinSSmith</v>
      </c>
      <c r="C236" s="12" t="s">
        <v>204</v>
      </c>
      <c r="D236" s="13" t="s">
        <v>680</v>
      </c>
      <c r="E236" s="14" t="str">
        <f>HYPERLINK("https://twitter.com/CaylinSSmith/status/1036578102233710592","1036578102233710592")</f>
        <v>1036578102233710592</v>
      </c>
      <c r="F236" s="15"/>
      <c r="G236" s="15"/>
      <c r="H236" s="15"/>
      <c r="I236" s="17">
        <v>2</v>
      </c>
      <c r="J236" s="17">
        <v>10</v>
      </c>
      <c r="K236" s="18" t="str">
        <f t="shared" si="64"/>
        <v>Twitter for Android</v>
      </c>
      <c r="L236" s="17">
        <v>1013</v>
      </c>
      <c r="M236" s="17">
        <v>2629</v>
      </c>
      <c r="N236" s="17">
        <v>68</v>
      </c>
      <c r="O236" s="19"/>
      <c r="P236" s="10">
        <v>40376.763761574075</v>
      </c>
      <c r="Q236" s="20" t="s">
        <v>206</v>
      </c>
      <c r="R236" s="21" t="s">
        <v>207</v>
      </c>
      <c r="S236" s="16" t="s">
        <v>208</v>
      </c>
      <c r="T236" s="15"/>
      <c r="U236" s="14" t="str">
        <f>HYPERLINK("https://pbs.twimg.com/profile_images/1027591872028524545/k9Xatqj3.jpg","View")</f>
        <v>View</v>
      </c>
    </row>
    <row r="237" spans="1:21" ht="50">
      <c r="A237" s="10">
        <v>43346.190127314811</v>
      </c>
      <c r="B237" s="11" t="str">
        <f>HYPERLINK("https://twitter.com/HLFLondon","@HLFLondon")</f>
        <v>@HLFLondon</v>
      </c>
      <c r="C237" s="12" t="s">
        <v>54</v>
      </c>
      <c r="D237" s="13" t="s">
        <v>681</v>
      </c>
      <c r="E237" s="14" t="str">
        <f>HYPERLINK("https://twitter.com/HLFLondon/status/1036577995438350336","1036577995438350336")</f>
        <v>1036577995438350336</v>
      </c>
      <c r="F237" s="15"/>
      <c r="G237" s="15"/>
      <c r="H237" s="15"/>
      <c r="I237" s="17">
        <v>2</v>
      </c>
      <c r="J237" s="17">
        <v>5</v>
      </c>
      <c r="K237" s="18" t="str">
        <f>HYPERLINK("http://twitter.com/download/iphone","Twitter for iPhone")</f>
        <v>Twitter for iPhone</v>
      </c>
      <c r="L237" s="17">
        <v>3962</v>
      </c>
      <c r="M237" s="17">
        <v>1516</v>
      </c>
      <c r="N237" s="17">
        <v>74</v>
      </c>
      <c r="O237" s="19"/>
      <c r="P237" s="10">
        <v>41442.105706018519</v>
      </c>
      <c r="Q237" s="20" t="s">
        <v>56</v>
      </c>
      <c r="R237" s="21" t="s">
        <v>57</v>
      </c>
      <c r="S237" s="16" t="s">
        <v>58</v>
      </c>
      <c r="T237" s="15"/>
      <c r="U237" s="14" t="str">
        <f>HYPERLINK("https://pbs.twimg.com/profile_images/694839380582764544/6N71IZbb.jpg","View")</f>
        <v>View</v>
      </c>
    </row>
    <row r="238" spans="1:21" ht="30">
      <c r="A238" s="10">
        <v>43346.187789351854</v>
      </c>
      <c r="B238" s="11" t="str">
        <f>HYPERLINK("https://twitter.com/arranjrees","@arranjrees")</f>
        <v>@arranjrees</v>
      </c>
      <c r="C238" s="12" t="s">
        <v>490</v>
      </c>
      <c r="D238" s="13" t="s">
        <v>682</v>
      </c>
      <c r="E238" s="14" t="str">
        <f>HYPERLINK("https://twitter.com/arranjrees/status/1036577149304496131","1036577149304496131")</f>
        <v>1036577149304496131</v>
      </c>
      <c r="F238" s="15"/>
      <c r="G238" s="15"/>
      <c r="H238" s="15"/>
      <c r="I238" s="17">
        <v>1</v>
      </c>
      <c r="J238" s="17">
        <v>4</v>
      </c>
      <c r="K238" s="18" t="str">
        <f t="shared" ref="K238:K240" si="65">HYPERLINK("http://twitter.com/download/android","Twitter for Android")</f>
        <v>Twitter for Android</v>
      </c>
      <c r="L238" s="17">
        <v>1717</v>
      </c>
      <c r="M238" s="17">
        <v>929</v>
      </c>
      <c r="N238" s="17">
        <v>32</v>
      </c>
      <c r="O238" s="19"/>
      <c r="P238" s="10">
        <v>40550.554884259262</v>
      </c>
      <c r="Q238" s="20" t="s">
        <v>458</v>
      </c>
      <c r="R238" s="21" t="s">
        <v>493</v>
      </c>
      <c r="S238" s="16" t="s">
        <v>494</v>
      </c>
      <c r="T238" s="15"/>
      <c r="U238" s="14" t="str">
        <f>HYPERLINK("https://pbs.twimg.com/profile_images/1027536161080860673/iP5ROxDR.jpg","View")</f>
        <v>View</v>
      </c>
    </row>
    <row r="239" spans="1:21" ht="40">
      <c r="A239" s="10">
        <v>43346.187546296293</v>
      </c>
      <c r="B239" s="11" t="str">
        <f>HYPERLINK("https://twitter.com/GeorgiaMallin","@GeorgiaMallin")</f>
        <v>@GeorgiaMallin</v>
      </c>
      <c r="C239" s="12" t="s">
        <v>126</v>
      </c>
      <c r="D239" s="13" t="s">
        <v>683</v>
      </c>
      <c r="E239" s="14" t="str">
        <f>HYPERLINK("https://twitter.com/GeorgiaMallin/status/1036577059034804224","1036577059034804224")</f>
        <v>1036577059034804224</v>
      </c>
      <c r="F239" s="15"/>
      <c r="G239" s="16" t="s">
        <v>684</v>
      </c>
      <c r="H239" s="15"/>
      <c r="I239" s="17">
        <v>0</v>
      </c>
      <c r="J239" s="17">
        <v>7</v>
      </c>
      <c r="K239" s="18" t="str">
        <f t="shared" si="65"/>
        <v>Twitter for Android</v>
      </c>
      <c r="L239" s="17">
        <v>528</v>
      </c>
      <c r="M239" s="17">
        <v>1025</v>
      </c>
      <c r="N239" s="17">
        <v>11</v>
      </c>
      <c r="O239" s="19"/>
      <c r="P239" s="10">
        <v>40905.701087962967</v>
      </c>
      <c r="Q239" s="20" t="s">
        <v>41</v>
      </c>
      <c r="R239" s="21" t="s">
        <v>128</v>
      </c>
      <c r="S239" s="15"/>
      <c r="T239" s="15"/>
      <c r="U239" s="14" t="str">
        <f>HYPERLINK("https://pbs.twimg.com/profile_images/874631103193206784/akQp_6iv.jpg","View")</f>
        <v>View</v>
      </c>
    </row>
    <row r="240" spans="1:21" ht="40">
      <c r="A240" s="10">
        <v>43346.186550925922</v>
      </c>
      <c r="B240" s="11" t="str">
        <f>HYPERLINK("https://twitter.com/CKamposiori","@CKamposiori")</f>
        <v>@CKamposiori</v>
      </c>
      <c r="C240" s="12" t="s">
        <v>218</v>
      </c>
      <c r="D240" s="13" t="s">
        <v>685</v>
      </c>
      <c r="E240" s="14" t="str">
        <f>HYPERLINK("https://twitter.com/CKamposiori/status/1036576699176177669","1036576699176177669")</f>
        <v>1036576699176177669</v>
      </c>
      <c r="F240" s="15"/>
      <c r="G240" s="16" t="s">
        <v>686</v>
      </c>
      <c r="H240" s="15"/>
      <c r="I240" s="17">
        <v>1</v>
      </c>
      <c r="J240" s="17">
        <v>3</v>
      </c>
      <c r="K240" s="18" t="str">
        <f t="shared" si="65"/>
        <v>Twitter for Android</v>
      </c>
      <c r="L240" s="17">
        <v>1025</v>
      </c>
      <c r="M240" s="17">
        <v>1024</v>
      </c>
      <c r="N240" s="17">
        <v>62</v>
      </c>
      <c r="O240" s="19"/>
      <c r="P240" s="10">
        <v>41035.594293981485</v>
      </c>
      <c r="Q240" s="20" t="s">
        <v>220</v>
      </c>
      <c r="R240" s="21" t="s">
        <v>221</v>
      </c>
      <c r="S240" s="15"/>
      <c r="T240" s="15"/>
      <c r="U240" s="14" t="str">
        <f>HYPERLINK("https://pbs.twimg.com/profile_images/512669996871208960/UyoWDxT7.jpeg","View")</f>
        <v>View</v>
      </c>
    </row>
    <row r="241" spans="1:21" ht="40">
      <c r="A241" s="10">
        <v>43346.185902777783</v>
      </c>
      <c r="B241" s="11" t="str">
        <f>HYPERLINK("https://twitter.com/ellie__miles","@ellie__miles")</f>
        <v>@ellie__miles</v>
      </c>
      <c r="C241" s="12" t="s">
        <v>227</v>
      </c>
      <c r="D241" s="13" t="s">
        <v>687</v>
      </c>
      <c r="E241" s="14" t="str">
        <f>HYPERLINK("https://twitter.com/ellie__miles/status/1036576465654087680","1036576465654087680")</f>
        <v>1036576465654087680</v>
      </c>
      <c r="F241" s="15"/>
      <c r="G241" s="15"/>
      <c r="H241" s="15"/>
      <c r="I241" s="17">
        <v>0</v>
      </c>
      <c r="J241" s="17">
        <v>2</v>
      </c>
      <c r="K241" s="18" t="str">
        <f>HYPERLINK("https://mobile.twitter.com","Twitter Lite")</f>
        <v>Twitter Lite</v>
      </c>
      <c r="L241" s="17">
        <v>1051</v>
      </c>
      <c r="M241" s="17">
        <v>645</v>
      </c>
      <c r="N241" s="17">
        <v>29</v>
      </c>
      <c r="O241" s="19"/>
      <c r="P241" s="10">
        <v>41065.331909722227</v>
      </c>
      <c r="Q241" s="20" t="s">
        <v>56</v>
      </c>
      <c r="R241" s="21" t="s">
        <v>229</v>
      </c>
      <c r="S241" s="16" t="s">
        <v>230</v>
      </c>
      <c r="T241" s="15"/>
      <c r="U241" s="14" t="str">
        <f>HYPERLINK("https://pbs.twimg.com/profile_images/1017465512325009408/sUSUo4fg.jpg","View")</f>
        <v>View</v>
      </c>
    </row>
    <row r="242" spans="1:21" ht="30">
      <c r="A242" s="10">
        <v>43346.185636574075</v>
      </c>
      <c r="B242" s="11" t="str">
        <f>HYPERLINK("https://twitter.com/DafJames","@DafJames")</f>
        <v>@DafJames</v>
      </c>
      <c r="C242" s="12" t="s">
        <v>495</v>
      </c>
      <c r="D242" s="24" t="s">
        <v>688</v>
      </c>
      <c r="E242" s="14" t="str">
        <f>HYPERLINK("https://twitter.com/DafJames/status/1036576368283332610","1036576368283332610")</f>
        <v>1036576368283332610</v>
      </c>
      <c r="F242" s="15"/>
      <c r="G242" s="15"/>
      <c r="H242" s="15"/>
      <c r="I242" s="17">
        <v>1</v>
      </c>
      <c r="J242" s="17">
        <v>3</v>
      </c>
      <c r="K242" s="18" t="str">
        <f>HYPERLINK("http://twitter.com","Twitter Web Client")</f>
        <v>Twitter Web Client</v>
      </c>
      <c r="L242" s="17">
        <v>1465</v>
      </c>
      <c r="M242" s="17">
        <v>827</v>
      </c>
      <c r="N242" s="17">
        <v>97</v>
      </c>
      <c r="O242" s="19"/>
      <c r="P242" s="10">
        <v>39563.101620370369</v>
      </c>
      <c r="Q242" s="20" t="s">
        <v>497</v>
      </c>
      <c r="R242" s="21" t="s">
        <v>498</v>
      </c>
      <c r="S242" s="16" t="s">
        <v>499</v>
      </c>
      <c r="T242" s="15"/>
      <c r="U242" s="14" t="str">
        <f>HYPERLINK("https://pbs.twimg.com/profile_images/648818685839339520/9m3OwoX-.png","View")</f>
        <v>View</v>
      </c>
    </row>
    <row r="243" spans="1:21" ht="50">
      <c r="A243" s="10">
        <v>43346.185115740736</v>
      </c>
      <c r="B243" s="11" t="str">
        <f>HYPERLINK("https://twitter.com/CriticalSteph","@CriticalSteph")</f>
        <v>@CriticalSteph</v>
      </c>
      <c r="C243" s="12" t="s">
        <v>209</v>
      </c>
      <c r="D243" s="13" t="s">
        <v>689</v>
      </c>
      <c r="E243" s="14" t="str">
        <f>HYPERLINK("https://twitter.com/CriticalSteph/status/1036576178147082241","1036576178147082241")</f>
        <v>1036576178147082241</v>
      </c>
      <c r="F243" s="15"/>
      <c r="G243" s="15"/>
      <c r="H243" s="15"/>
      <c r="I243" s="17">
        <v>11</v>
      </c>
      <c r="J243" s="17">
        <v>28</v>
      </c>
      <c r="K243" s="18" t="str">
        <f>HYPERLINK("http://twitter.com/download/android","Twitter for Android")</f>
        <v>Twitter for Android</v>
      </c>
      <c r="L243" s="17">
        <v>2083</v>
      </c>
      <c r="M243" s="17">
        <v>2189</v>
      </c>
      <c r="N243" s="17">
        <v>140</v>
      </c>
      <c r="O243" s="19"/>
      <c r="P243" s="10">
        <v>39853.082071759258</v>
      </c>
      <c r="Q243" s="20" t="s">
        <v>211</v>
      </c>
      <c r="R243" s="21" t="s">
        <v>212</v>
      </c>
      <c r="S243" s="16" t="s">
        <v>213</v>
      </c>
      <c r="T243" s="15"/>
      <c r="U243" s="14" t="str">
        <f>HYPERLINK("https://pbs.twimg.com/profile_images/619416622705414144/2Tyn4jkC.png","View")</f>
        <v>View</v>
      </c>
    </row>
    <row r="244" spans="1:21" ht="60">
      <c r="A244" s="10">
        <v>43346.184641203705</v>
      </c>
      <c r="B244" s="11" t="str">
        <f>HYPERLINK("https://twitter.com/MariaEcoGl","@MariaEcoGl")</f>
        <v>@MariaEcoGl</v>
      </c>
      <c r="C244" s="12" t="s">
        <v>304</v>
      </c>
      <c r="D244" s="13" t="s">
        <v>690</v>
      </c>
      <c r="E244" s="14" t="str">
        <f>HYPERLINK("https://twitter.com/MariaEcoGl/status/1036576005635420160","1036576005635420160")</f>
        <v>1036576005635420160</v>
      </c>
      <c r="F244" s="15"/>
      <c r="G244" s="16" t="s">
        <v>691</v>
      </c>
      <c r="H244" s="15"/>
      <c r="I244" s="17">
        <v>3</v>
      </c>
      <c r="J244" s="17">
        <v>3</v>
      </c>
      <c r="K244" s="18" t="str">
        <f>HYPERLINK("http://twitter.com/download/iphone","Twitter for iPhone")</f>
        <v>Twitter for iPhone</v>
      </c>
      <c r="L244" s="17">
        <v>1479</v>
      </c>
      <c r="M244" s="17">
        <v>2085</v>
      </c>
      <c r="N244" s="17">
        <v>43</v>
      </c>
      <c r="O244" s="19"/>
      <c r="P244" s="10">
        <v>41611.245787037034</v>
      </c>
      <c r="Q244" s="20" t="s">
        <v>307</v>
      </c>
      <c r="R244" s="21" t="s">
        <v>308</v>
      </c>
      <c r="S244" s="16" t="s">
        <v>309</v>
      </c>
      <c r="T244" s="15"/>
      <c r="U244" s="14" t="str">
        <f>HYPERLINK("https://pbs.twimg.com/profile_images/600251605141692416/YeaqAIJB.png","View")</f>
        <v>View</v>
      </c>
    </row>
    <row r="245" spans="1:21" ht="40">
      <c r="A245" s="10">
        <v>43346.183865740742</v>
      </c>
      <c r="B245" s="11" t="str">
        <f>HYPERLINK("https://twitter.com/KHClem","@KHClem")</f>
        <v>@KHClem</v>
      </c>
      <c r="C245" s="12" t="s">
        <v>692</v>
      </c>
      <c r="D245" s="13" t="s">
        <v>693</v>
      </c>
      <c r="E245" s="14" t="str">
        <f>HYPERLINK("https://twitter.com/KHClem/status/1036575727901126656","1036575727901126656")</f>
        <v>1036575727901126656</v>
      </c>
      <c r="F245" s="15"/>
      <c r="G245" s="16" t="s">
        <v>694</v>
      </c>
      <c r="H245" s="15"/>
      <c r="I245" s="17">
        <v>14</v>
      </c>
      <c r="J245" s="17">
        <v>19</v>
      </c>
      <c r="K245" s="18" t="str">
        <f>HYPERLINK("http://twitter.com/download/android","Twitter for Android")</f>
        <v>Twitter for Android</v>
      </c>
      <c r="L245" s="17">
        <v>119</v>
      </c>
      <c r="M245" s="17">
        <v>223</v>
      </c>
      <c r="N245" s="17">
        <v>2</v>
      </c>
      <c r="O245" s="19"/>
      <c r="P245" s="10">
        <v>39869.101145833338</v>
      </c>
      <c r="Q245" s="15"/>
      <c r="R245" s="21" t="s">
        <v>695</v>
      </c>
      <c r="S245" s="15"/>
      <c r="T245" s="15"/>
      <c r="U245" s="14" t="str">
        <f>HYPERLINK("https://pbs.twimg.com/profile_images/622170991519789056/1VAPf73R.jpg","View")</f>
        <v>View</v>
      </c>
    </row>
    <row r="246" spans="1:21" ht="40">
      <c r="A246" s="10">
        <v>43346.183564814812</v>
      </c>
      <c r="B246" s="11" t="str">
        <f>HYPERLINK("https://twitter.com/ellie__miles","@ellie__miles")</f>
        <v>@ellie__miles</v>
      </c>
      <c r="C246" s="12" t="s">
        <v>227</v>
      </c>
      <c r="D246" s="13" t="s">
        <v>696</v>
      </c>
      <c r="E246" s="14" t="str">
        <f>HYPERLINK("https://twitter.com/ellie__miles/status/1036575615678382080","1036575615678382080")</f>
        <v>1036575615678382080</v>
      </c>
      <c r="F246" s="15"/>
      <c r="G246" s="16" t="s">
        <v>697</v>
      </c>
      <c r="H246" s="15"/>
      <c r="I246" s="17">
        <v>1</v>
      </c>
      <c r="J246" s="17">
        <v>0</v>
      </c>
      <c r="K246" s="18" t="str">
        <f>HYPERLINK("https://mobile.twitter.com","Twitter Lite")</f>
        <v>Twitter Lite</v>
      </c>
      <c r="L246" s="17">
        <v>1051</v>
      </c>
      <c r="M246" s="17">
        <v>645</v>
      </c>
      <c r="N246" s="17">
        <v>29</v>
      </c>
      <c r="O246" s="19"/>
      <c r="P246" s="10">
        <v>41065.331909722227</v>
      </c>
      <c r="Q246" s="20" t="s">
        <v>56</v>
      </c>
      <c r="R246" s="21" t="s">
        <v>229</v>
      </c>
      <c r="S246" s="16" t="s">
        <v>230</v>
      </c>
      <c r="T246" s="15"/>
      <c r="U246" s="14" t="str">
        <f>HYPERLINK("https://pbs.twimg.com/profile_images/1017465512325009408/sUSUo4fg.jpg","View")</f>
        <v>View</v>
      </c>
    </row>
    <row r="247" spans="1:21" ht="40">
      <c r="A247" s="10">
        <v>43346.182847222226</v>
      </c>
      <c r="B247" s="11" t="str">
        <f>HYPERLINK("https://twitter.com/WilliamKilbride","@WilliamKilbride")</f>
        <v>@WilliamKilbride</v>
      </c>
      <c r="C247" s="12" t="s">
        <v>49</v>
      </c>
      <c r="D247" s="13" t="s">
        <v>698</v>
      </c>
      <c r="E247" s="14" t="str">
        <f>HYPERLINK("https://twitter.com/WilliamKilbride/status/1036575355556044801","1036575355556044801")</f>
        <v>1036575355556044801</v>
      </c>
      <c r="F247" s="15"/>
      <c r="G247" s="15"/>
      <c r="H247" s="15"/>
      <c r="I247" s="17">
        <v>5</v>
      </c>
      <c r="J247" s="17">
        <v>10</v>
      </c>
      <c r="K247" s="18" t="str">
        <f>HYPERLINK("https://about.twitter.com/products/tweetdeck","TweetDeck")</f>
        <v>TweetDeck</v>
      </c>
      <c r="L247" s="17">
        <v>3065</v>
      </c>
      <c r="M247" s="17">
        <v>582</v>
      </c>
      <c r="N247" s="17">
        <v>180</v>
      </c>
      <c r="O247" s="19"/>
      <c r="P247" s="10">
        <v>39917.310949074075</v>
      </c>
      <c r="Q247" s="20" t="s">
        <v>51</v>
      </c>
      <c r="R247" s="21" t="s">
        <v>52</v>
      </c>
      <c r="S247" s="16" t="s">
        <v>53</v>
      </c>
      <c r="T247" s="15"/>
      <c r="U247" s="14" t="str">
        <f>HYPERLINK("https://pbs.twimg.com/profile_images/606802634499080192/ZWLKLGdh.png","View")</f>
        <v>View</v>
      </c>
    </row>
    <row r="248" spans="1:21" ht="30">
      <c r="A248" s="10">
        <v>43346.182592592595</v>
      </c>
      <c r="B248" s="11" t="str">
        <f>HYPERLINK("https://twitter.com/CriticalSteph","@CriticalSteph")</f>
        <v>@CriticalSteph</v>
      </c>
      <c r="C248" s="12" t="s">
        <v>209</v>
      </c>
      <c r="D248" s="13" t="s">
        <v>699</v>
      </c>
      <c r="E248" s="14" t="str">
        <f>HYPERLINK("https://twitter.com/CriticalSteph/status/1036575263260377088","1036575263260377088")</f>
        <v>1036575263260377088</v>
      </c>
      <c r="F248" s="15"/>
      <c r="G248" s="15"/>
      <c r="H248" s="15"/>
      <c r="I248" s="17">
        <v>0</v>
      </c>
      <c r="J248" s="17">
        <v>1</v>
      </c>
      <c r="K248" s="18" t="str">
        <f>HYPERLINK("http://twitter.com/download/android","Twitter for Android")</f>
        <v>Twitter for Android</v>
      </c>
      <c r="L248" s="17">
        <v>2083</v>
      </c>
      <c r="M248" s="17">
        <v>2189</v>
      </c>
      <c r="N248" s="17">
        <v>140</v>
      </c>
      <c r="O248" s="19"/>
      <c r="P248" s="10">
        <v>39853.082071759258</v>
      </c>
      <c r="Q248" s="20" t="s">
        <v>211</v>
      </c>
      <c r="R248" s="21" t="s">
        <v>212</v>
      </c>
      <c r="S248" s="16" t="s">
        <v>213</v>
      </c>
      <c r="T248" s="15"/>
      <c r="U248" s="14" t="str">
        <f>HYPERLINK("https://pbs.twimg.com/profile_images/619416622705414144/2Tyn4jkC.png","View")</f>
        <v>View</v>
      </c>
    </row>
    <row r="249" spans="1:21" ht="40">
      <c r="A249" s="10">
        <v>43346.181863425925</v>
      </c>
      <c r="B249" s="11" t="str">
        <f>HYPERLINK("https://twitter.com/DafJames","@DafJames")</f>
        <v>@DafJames</v>
      </c>
      <c r="C249" s="12" t="s">
        <v>495</v>
      </c>
      <c r="D249" s="24" t="s">
        <v>700</v>
      </c>
      <c r="E249" s="14" t="str">
        <f>HYPERLINK("https://twitter.com/DafJames/status/1036575002513027072","1036575002513027072")</f>
        <v>1036575002513027072</v>
      </c>
      <c r="F249" s="15"/>
      <c r="G249" s="15"/>
      <c r="H249" s="15"/>
      <c r="I249" s="17">
        <v>1</v>
      </c>
      <c r="J249" s="17">
        <v>3</v>
      </c>
      <c r="K249" s="18" t="str">
        <f>HYPERLINK("http://twitter.com","Twitter Web Client")</f>
        <v>Twitter Web Client</v>
      </c>
      <c r="L249" s="17">
        <v>1465</v>
      </c>
      <c r="M249" s="17">
        <v>827</v>
      </c>
      <c r="N249" s="17">
        <v>97</v>
      </c>
      <c r="O249" s="19"/>
      <c r="P249" s="10">
        <v>39563.101620370369</v>
      </c>
      <c r="Q249" s="20" t="s">
        <v>497</v>
      </c>
      <c r="R249" s="21" t="s">
        <v>498</v>
      </c>
      <c r="S249" s="16" t="s">
        <v>499</v>
      </c>
      <c r="T249" s="15"/>
      <c r="U249" s="14" t="str">
        <f>HYPERLINK("https://pbs.twimg.com/profile_images/648818685839339520/9m3OwoX-.png","View")</f>
        <v>View</v>
      </c>
    </row>
    <row r="250" spans="1:21" ht="30">
      <c r="A250" s="10">
        <v>43346.181168981479</v>
      </c>
      <c r="B250" s="11" t="str">
        <f>HYPERLINK("https://twitter.com/CriticalSteph","@CriticalSteph")</f>
        <v>@CriticalSteph</v>
      </c>
      <c r="C250" s="12" t="s">
        <v>209</v>
      </c>
      <c r="D250" s="13" t="s">
        <v>701</v>
      </c>
      <c r="E250" s="14" t="str">
        <f>HYPERLINK("https://twitter.com/CriticalSteph/status/1036574750917705728","1036574750917705728")</f>
        <v>1036574750917705728</v>
      </c>
      <c r="F250" s="15"/>
      <c r="G250" s="15"/>
      <c r="H250" s="15"/>
      <c r="I250" s="17">
        <v>2</v>
      </c>
      <c r="J250" s="17">
        <v>1</v>
      </c>
      <c r="K250" s="18" t="str">
        <f>HYPERLINK("http://twitter.com/download/android","Twitter for Android")</f>
        <v>Twitter for Android</v>
      </c>
      <c r="L250" s="17">
        <v>2083</v>
      </c>
      <c r="M250" s="17">
        <v>2189</v>
      </c>
      <c r="N250" s="17">
        <v>140</v>
      </c>
      <c r="O250" s="19"/>
      <c r="P250" s="10">
        <v>39853.082071759258</v>
      </c>
      <c r="Q250" s="20" t="s">
        <v>211</v>
      </c>
      <c r="R250" s="21" t="s">
        <v>212</v>
      </c>
      <c r="S250" s="16" t="s">
        <v>213</v>
      </c>
      <c r="T250" s="15"/>
      <c r="U250" s="14" t="str">
        <f>HYPERLINK("https://pbs.twimg.com/profile_images/619416622705414144/2Tyn4jkC.png","View")</f>
        <v>View</v>
      </c>
    </row>
    <row r="251" spans="1:21" ht="50">
      <c r="A251" s="10">
        <v>43346.179571759261</v>
      </c>
      <c r="B251" s="11" t="str">
        <f>HYPERLINK("https://twitter.com/AVCulturalForum","@AVCulturalForum")</f>
        <v>@AVCulturalForum</v>
      </c>
      <c r="C251" s="12" t="s">
        <v>702</v>
      </c>
      <c r="D251" s="13" t="s">
        <v>703</v>
      </c>
      <c r="E251" s="14" t="str">
        <f>HYPERLINK("https://twitter.com/AVCulturalForum/status/1036574172045041664","1036574172045041664")</f>
        <v>1036574172045041664</v>
      </c>
      <c r="F251" s="15"/>
      <c r="G251" s="16" t="s">
        <v>704</v>
      </c>
      <c r="H251" s="15"/>
      <c r="I251" s="17">
        <v>3</v>
      </c>
      <c r="J251" s="17">
        <v>13</v>
      </c>
      <c r="K251" s="18" t="str">
        <f>HYPERLINK("http://twitter.com/download/iphone","Twitter for iPhone")</f>
        <v>Twitter for iPhone</v>
      </c>
      <c r="L251" s="17">
        <v>534</v>
      </c>
      <c r="M251" s="17">
        <v>250</v>
      </c>
      <c r="N251" s="17">
        <v>15</v>
      </c>
      <c r="O251" s="19"/>
      <c r="P251" s="10">
        <v>41919.224641203706</v>
      </c>
      <c r="Q251" s="20" t="s">
        <v>56</v>
      </c>
      <c r="R251" s="21" t="s">
        <v>705</v>
      </c>
      <c r="S251" s="16" t="s">
        <v>706</v>
      </c>
      <c r="T251" s="15"/>
      <c r="U251" s="14" t="str">
        <f>HYPERLINK("https://pbs.twimg.com/profile_images/735109491692298240/m_SABHyk.jpg","View")</f>
        <v>View</v>
      </c>
    </row>
    <row r="252" spans="1:21" ht="40">
      <c r="A252" s="10">
        <v>43346.178969907407</v>
      </c>
      <c r="B252" s="11" t="str">
        <f>HYPERLINK("https://twitter.com/CKamposiori","@CKamposiori")</f>
        <v>@CKamposiori</v>
      </c>
      <c r="C252" s="12" t="s">
        <v>218</v>
      </c>
      <c r="D252" s="13" t="s">
        <v>707</v>
      </c>
      <c r="E252" s="14" t="str">
        <f>HYPERLINK("https://twitter.com/CKamposiori/status/1036573953677029377","1036573953677029377")</f>
        <v>1036573953677029377</v>
      </c>
      <c r="F252" s="15"/>
      <c r="G252" s="15"/>
      <c r="H252" s="15"/>
      <c r="I252" s="17">
        <v>0</v>
      </c>
      <c r="J252" s="17">
        <v>1</v>
      </c>
      <c r="K252" s="18" t="str">
        <f>HYPERLINK("http://twitter.com/download/android","Twitter for Android")</f>
        <v>Twitter for Android</v>
      </c>
      <c r="L252" s="17">
        <v>1025</v>
      </c>
      <c r="M252" s="17">
        <v>1024</v>
      </c>
      <c r="N252" s="17">
        <v>62</v>
      </c>
      <c r="O252" s="19"/>
      <c r="P252" s="10">
        <v>41035.594293981485</v>
      </c>
      <c r="Q252" s="20" t="s">
        <v>220</v>
      </c>
      <c r="R252" s="21" t="s">
        <v>221</v>
      </c>
      <c r="S252" s="15"/>
      <c r="T252" s="15"/>
      <c r="U252" s="14" t="str">
        <f>HYPERLINK("https://pbs.twimg.com/profile_images/512669996871208960/UyoWDxT7.jpeg","View")</f>
        <v>View</v>
      </c>
    </row>
    <row r="253" spans="1:21" ht="40">
      <c r="A253" s="10">
        <v>43346.177337962959</v>
      </c>
      <c r="B253" s="11" t="str">
        <f>HYPERLINK("https://twitter.com/MariaEcoGl","@MariaEcoGl")</f>
        <v>@MariaEcoGl</v>
      </c>
      <c r="C253" s="12" t="s">
        <v>304</v>
      </c>
      <c r="D253" s="13" t="s">
        <v>708</v>
      </c>
      <c r="E253" s="14" t="str">
        <f>HYPERLINK("https://twitter.com/MariaEcoGl/status/1036573362544418818","1036573362544418818")</f>
        <v>1036573362544418818</v>
      </c>
      <c r="F253" s="15"/>
      <c r="G253" s="16" t="s">
        <v>709</v>
      </c>
      <c r="H253" s="15"/>
      <c r="I253" s="17">
        <v>2</v>
      </c>
      <c r="J253" s="17">
        <v>4</v>
      </c>
      <c r="K253" s="18" t="str">
        <f>HYPERLINK("http://twitter.com/download/iphone","Twitter for iPhone")</f>
        <v>Twitter for iPhone</v>
      </c>
      <c r="L253" s="17">
        <v>1479</v>
      </c>
      <c r="M253" s="17">
        <v>2085</v>
      </c>
      <c r="N253" s="17">
        <v>43</v>
      </c>
      <c r="O253" s="19"/>
      <c r="P253" s="10">
        <v>41611.245787037034</v>
      </c>
      <c r="Q253" s="20" t="s">
        <v>307</v>
      </c>
      <c r="R253" s="21" t="s">
        <v>308</v>
      </c>
      <c r="S253" s="16" t="s">
        <v>309</v>
      </c>
      <c r="T253" s="15"/>
      <c r="U253" s="14" t="str">
        <f>HYPERLINK("https://pbs.twimg.com/profile_images/600251605141692416/YeaqAIJB.png","View")</f>
        <v>View</v>
      </c>
    </row>
    <row r="254" spans="1:21" ht="50">
      <c r="A254" s="10">
        <v>43346.176886574074</v>
      </c>
      <c r="B254" s="11" t="str">
        <f>HYPERLINK("https://twitter.com/AbdnArtMuseums","@AbdnArtMuseums")</f>
        <v>@AbdnArtMuseums</v>
      </c>
      <c r="C254" s="12" t="s">
        <v>710</v>
      </c>
      <c r="D254" s="13" t="s">
        <v>711</v>
      </c>
      <c r="E254" s="14" t="str">
        <f>HYPERLINK("https://twitter.com/AbdnArtMuseums/status/1036573197704069122","1036573197704069122")</f>
        <v>1036573197704069122</v>
      </c>
      <c r="F254" s="15"/>
      <c r="G254" s="16" t="s">
        <v>712</v>
      </c>
      <c r="H254" s="15"/>
      <c r="I254" s="17">
        <v>0</v>
      </c>
      <c r="J254" s="17">
        <v>1</v>
      </c>
      <c r="K254" s="18" t="str">
        <f>HYPERLINK("http://www.socialsignin.co.uk","SocialSignIn Application")</f>
        <v>SocialSignIn Application</v>
      </c>
      <c r="L254" s="17">
        <v>58123</v>
      </c>
      <c r="M254" s="17">
        <v>2174</v>
      </c>
      <c r="N254" s="17">
        <v>178</v>
      </c>
      <c r="O254" s="19"/>
      <c r="P254" s="10">
        <v>40576.261817129627</v>
      </c>
      <c r="Q254" s="20" t="s">
        <v>713</v>
      </c>
      <c r="R254" s="21" t="s">
        <v>714</v>
      </c>
      <c r="S254" s="16" t="s">
        <v>715</v>
      </c>
      <c r="T254" s="15"/>
      <c r="U254" s="14" t="str">
        <f>HYPERLINK("https://pbs.twimg.com/profile_images/971419810004381701/PDQR7Lb4.jpg","View")</f>
        <v>View</v>
      </c>
    </row>
    <row r="255" spans="1:21" ht="20">
      <c r="A255" s="10">
        <v>43346.176053240742</v>
      </c>
      <c r="B255" s="11" t="str">
        <f>HYPERLINK("https://twitter.com/RichardWright","@RichardWright")</f>
        <v>@RichardWright</v>
      </c>
      <c r="C255" s="12" t="s">
        <v>384</v>
      </c>
      <c r="D255" s="13" t="s">
        <v>716</v>
      </c>
      <c r="E255" s="14" t="str">
        <f>HYPERLINK("https://twitter.com/RichardWright/status/1036572895886094338","1036572895886094338")</f>
        <v>1036572895886094338</v>
      </c>
      <c r="F255" s="15"/>
      <c r="G255" s="15"/>
      <c r="H255" s="15"/>
      <c r="I255" s="17">
        <v>1</v>
      </c>
      <c r="J255" s="17">
        <v>4</v>
      </c>
      <c r="K255" s="18" t="str">
        <f>HYPERLINK("https://mobile.twitter.com","Twitter Lite")</f>
        <v>Twitter Lite</v>
      </c>
      <c r="L255" s="17">
        <v>438</v>
      </c>
      <c r="M255" s="17">
        <v>13</v>
      </c>
      <c r="N255" s="17">
        <v>11</v>
      </c>
      <c r="O255" s="19"/>
      <c r="P255" s="10">
        <v>39227.300497685181</v>
      </c>
      <c r="Q255" s="20" t="s">
        <v>56</v>
      </c>
      <c r="R255" s="21" t="s">
        <v>386</v>
      </c>
      <c r="S255" s="16" t="s">
        <v>387</v>
      </c>
      <c r="T255" s="15"/>
      <c r="U255" s="14" t="str">
        <f>HYPERLINK("https://pbs.twimg.com/profile_images/3286930352/48147a64e6644d879e37d6b455235eaf.jpeg","View")</f>
        <v>View</v>
      </c>
    </row>
    <row r="256" spans="1:21" ht="30">
      <c r="A256" s="10">
        <v>43346.175949074073</v>
      </c>
      <c r="B256" s="11" t="str">
        <f>HYPERLINK("https://twitter.com/WilliamKilbride","@WilliamKilbride")</f>
        <v>@WilliamKilbride</v>
      </c>
      <c r="C256" s="12" t="s">
        <v>49</v>
      </c>
      <c r="D256" s="13" t="s">
        <v>717</v>
      </c>
      <c r="E256" s="14" t="str">
        <f>HYPERLINK("https://twitter.com/WilliamKilbride/status/1036572857449558016","1036572857449558016")</f>
        <v>1036572857449558016</v>
      </c>
      <c r="F256" s="15"/>
      <c r="G256" s="15"/>
      <c r="H256" s="15"/>
      <c r="I256" s="17">
        <v>1</v>
      </c>
      <c r="J256" s="17">
        <v>8</v>
      </c>
      <c r="K256" s="18" t="str">
        <f>HYPERLINK("https://about.twitter.com/products/tweetdeck","TweetDeck")</f>
        <v>TweetDeck</v>
      </c>
      <c r="L256" s="17">
        <v>3065</v>
      </c>
      <c r="M256" s="17">
        <v>582</v>
      </c>
      <c r="N256" s="17">
        <v>180</v>
      </c>
      <c r="O256" s="19"/>
      <c r="P256" s="10">
        <v>39917.310949074075</v>
      </c>
      <c r="Q256" s="20" t="s">
        <v>51</v>
      </c>
      <c r="R256" s="21" t="s">
        <v>52</v>
      </c>
      <c r="S256" s="16" t="s">
        <v>53</v>
      </c>
      <c r="T256" s="15"/>
      <c r="U256" s="14" t="str">
        <f>HYPERLINK("https://pbs.twimg.com/profile_images/606802634499080192/ZWLKLGdh.png","View")</f>
        <v>View</v>
      </c>
    </row>
    <row r="257" spans="1:21" ht="40">
      <c r="A257" s="10">
        <v>43346.175659722227</v>
      </c>
      <c r="B257" s="11" t="str">
        <f>HYPERLINK("https://twitter.com/paulakeogh","@paulakeogh")</f>
        <v>@paulakeogh</v>
      </c>
      <c r="C257" s="12" t="s">
        <v>658</v>
      </c>
      <c r="D257" s="13" t="s">
        <v>718</v>
      </c>
      <c r="E257" s="14" t="str">
        <f>HYPERLINK("https://twitter.com/paulakeogh/status/1036572753061728256","1036572753061728256")</f>
        <v>1036572753061728256</v>
      </c>
      <c r="F257" s="15"/>
      <c r="G257" s="16" t="s">
        <v>719</v>
      </c>
      <c r="H257" s="15"/>
      <c r="I257" s="17">
        <v>0</v>
      </c>
      <c r="J257" s="17">
        <v>0</v>
      </c>
      <c r="K257" s="18" t="str">
        <f>HYPERLINK("http://twitter.com/download/iphone","Twitter for iPhone")</f>
        <v>Twitter for iPhone</v>
      </c>
      <c r="L257" s="17">
        <v>404</v>
      </c>
      <c r="M257" s="17">
        <v>557</v>
      </c>
      <c r="N257" s="17">
        <v>32</v>
      </c>
      <c r="O257" s="19"/>
      <c r="P257" s="10">
        <v>39854.575243055559</v>
      </c>
      <c r="Q257" s="20" t="s">
        <v>661</v>
      </c>
      <c r="R257" s="21" t="s">
        <v>662</v>
      </c>
      <c r="S257" s="16" t="s">
        <v>663</v>
      </c>
      <c r="T257" s="15"/>
      <c r="U257" s="14" t="str">
        <f>HYPERLINK("https://pbs.twimg.com/profile_images/932908395237183488/ZK6vDync.jpg","View")</f>
        <v>View</v>
      </c>
    </row>
    <row r="258" spans="1:21" ht="30">
      <c r="A258" s="10">
        <v>43346.174733796295</v>
      </c>
      <c r="B258" s="11" t="str">
        <f>HYPERLINK("https://twitter.com/CriticalSteph","@CriticalSteph")</f>
        <v>@CriticalSteph</v>
      </c>
      <c r="C258" s="12" t="s">
        <v>209</v>
      </c>
      <c r="D258" s="13" t="s">
        <v>720</v>
      </c>
      <c r="E258" s="14" t="str">
        <f>HYPERLINK("https://twitter.com/CriticalSteph/status/1036572416057790464","1036572416057790464")</f>
        <v>1036572416057790464</v>
      </c>
      <c r="F258" s="15"/>
      <c r="G258" s="15"/>
      <c r="H258" s="15"/>
      <c r="I258" s="17">
        <v>0</v>
      </c>
      <c r="J258" s="17">
        <v>5</v>
      </c>
      <c r="K258" s="18" t="str">
        <f t="shared" ref="K258:K260" si="66">HYPERLINK("http://twitter.com/download/android","Twitter for Android")</f>
        <v>Twitter for Android</v>
      </c>
      <c r="L258" s="17">
        <v>2083</v>
      </c>
      <c r="M258" s="17">
        <v>2189</v>
      </c>
      <c r="N258" s="17">
        <v>140</v>
      </c>
      <c r="O258" s="19"/>
      <c r="P258" s="10">
        <v>39853.082071759258</v>
      </c>
      <c r="Q258" s="20" t="s">
        <v>211</v>
      </c>
      <c r="R258" s="21" t="s">
        <v>212</v>
      </c>
      <c r="S258" s="16" t="s">
        <v>213</v>
      </c>
      <c r="T258" s="15"/>
      <c r="U258" s="14" t="str">
        <f>HYPERLINK("https://pbs.twimg.com/profile_images/619416622705414144/2Tyn4jkC.png","View")</f>
        <v>View</v>
      </c>
    </row>
    <row r="259" spans="1:21" ht="30">
      <c r="A259" s="10">
        <v>43346.174027777779</v>
      </c>
      <c r="B259" s="11" t="str">
        <f>HYPERLINK("https://twitter.com/dri_ireland","@dri_ireland")</f>
        <v>@dri_ireland</v>
      </c>
      <c r="C259" s="12" t="s">
        <v>197</v>
      </c>
      <c r="D259" s="13" t="s">
        <v>721</v>
      </c>
      <c r="E259" s="14" t="str">
        <f>HYPERLINK("https://twitter.com/dri_ireland/status/1036572160750510080","1036572160750510080")</f>
        <v>1036572160750510080</v>
      </c>
      <c r="F259" s="15"/>
      <c r="G259" s="16" t="s">
        <v>722</v>
      </c>
      <c r="H259" s="15"/>
      <c r="I259" s="17">
        <v>0</v>
      </c>
      <c r="J259" s="17">
        <v>4</v>
      </c>
      <c r="K259" s="18" t="str">
        <f t="shared" si="66"/>
        <v>Twitter for Android</v>
      </c>
      <c r="L259" s="17">
        <v>6134</v>
      </c>
      <c r="M259" s="17">
        <v>1732</v>
      </c>
      <c r="N259" s="17">
        <v>249</v>
      </c>
      <c r="O259" s="19"/>
      <c r="P259" s="10">
        <v>41172.215312500004</v>
      </c>
      <c r="Q259" s="20" t="s">
        <v>200</v>
      </c>
      <c r="R259" s="21" t="s">
        <v>201</v>
      </c>
      <c r="S259" s="16" t="s">
        <v>202</v>
      </c>
      <c r="T259" s="15"/>
      <c r="U259" s="14" t="str">
        <f>HYPERLINK("https://pbs.twimg.com/profile_images/603126975268581376/cGZW7aU3.jpg","View")</f>
        <v>View</v>
      </c>
    </row>
    <row r="260" spans="1:21" ht="40">
      <c r="A260" s="10">
        <v>43346.173472222217</v>
      </c>
      <c r="B260" s="11" t="str">
        <f>HYPERLINK("https://twitter.com/OonaghTweets","@OonaghTweets")</f>
        <v>@OonaghTweets</v>
      </c>
      <c r="C260" s="12" t="s">
        <v>432</v>
      </c>
      <c r="D260" s="13" t="s">
        <v>723</v>
      </c>
      <c r="E260" s="14" t="str">
        <f>HYPERLINK("https://twitter.com/OonaghTweets/status/1036571959511994368","1036571959511994368")</f>
        <v>1036571959511994368</v>
      </c>
      <c r="F260" s="16" t="s">
        <v>724</v>
      </c>
      <c r="G260" s="16" t="s">
        <v>725</v>
      </c>
      <c r="H260" s="15"/>
      <c r="I260" s="17">
        <v>2</v>
      </c>
      <c r="J260" s="17">
        <v>3</v>
      </c>
      <c r="K260" s="18" t="str">
        <f t="shared" si="66"/>
        <v>Twitter for Android</v>
      </c>
      <c r="L260" s="17">
        <v>5125</v>
      </c>
      <c r="M260" s="17">
        <v>4778</v>
      </c>
      <c r="N260" s="17">
        <v>213</v>
      </c>
      <c r="O260" s="19"/>
      <c r="P260" s="10">
        <v>40455.179166666669</v>
      </c>
      <c r="Q260" s="20" t="s">
        <v>435</v>
      </c>
      <c r="R260" s="21" t="s">
        <v>436</v>
      </c>
      <c r="S260" s="16" t="s">
        <v>437</v>
      </c>
      <c r="T260" s="15"/>
      <c r="U260" s="14" t="str">
        <f>HYPERLINK("https://pbs.twimg.com/profile_images/907377477491851265/9i6lqAFw.jpg","View")</f>
        <v>View</v>
      </c>
    </row>
    <row r="261" spans="1:21" ht="40">
      <c r="A261" s="10">
        <v>43346.173078703709</v>
      </c>
      <c r="B261" s="11" t="str">
        <f>HYPERLINK("https://twitter.com/WilliamKilbride","@WilliamKilbride")</f>
        <v>@WilliamKilbride</v>
      </c>
      <c r="C261" s="12" t="s">
        <v>49</v>
      </c>
      <c r="D261" s="13" t="s">
        <v>726</v>
      </c>
      <c r="E261" s="14" t="str">
        <f>HYPERLINK("https://twitter.com/WilliamKilbride/status/1036571818281394176","1036571818281394176")</f>
        <v>1036571818281394176</v>
      </c>
      <c r="F261" s="15"/>
      <c r="G261" s="15"/>
      <c r="H261" s="15"/>
      <c r="I261" s="17">
        <v>4</v>
      </c>
      <c r="J261" s="17">
        <v>7</v>
      </c>
      <c r="K261" s="18" t="str">
        <f>HYPERLINK("https://about.twitter.com/products/tweetdeck","TweetDeck")</f>
        <v>TweetDeck</v>
      </c>
      <c r="L261" s="17">
        <v>3065</v>
      </c>
      <c r="M261" s="17">
        <v>582</v>
      </c>
      <c r="N261" s="17">
        <v>180</v>
      </c>
      <c r="O261" s="19"/>
      <c r="P261" s="10">
        <v>39917.310949074075</v>
      </c>
      <c r="Q261" s="20" t="s">
        <v>51</v>
      </c>
      <c r="R261" s="21" t="s">
        <v>52</v>
      </c>
      <c r="S261" s="16" t="s">
        <v>53</v>
      </c>
      <c r="T261" s="15"/>
      <c r="U261" s="14" t="str">
        <f>HYPERLINK("https://pbs.twimg.com/profile_images/606802634499080192/ZWLKLGdh.png","View")</f>
        <v>View</v>
      </c>
    </row>
    <row r="262" spans="1:21" ht="30">
      <c r="A262" s="10">
        <v>43346.172627314816</v>
      </c>
      <c r="B262" s="11" t="str">
        <f>HYPERLINK("https://twitter.com/CriticalSteph","@CriticalSteph")</f>
        <v>@CriticalSteph</v>
      </c>
      <c r="C262" s="12" t="s">
        <v>209</v>
      </c>
      <c r="D262" s="13" t="s">
        <v>727</v>
      </c>
      <c r="E262" s="14" t="str">
        <f>HYPERLINK("https://twitter.com/CriticalSteph/status/1036571654045016069","1036571654045016069")</f>
        <v>1036571654045016069</v>
      </c>
      <c r="F262" s="15"/>
      <c r="G262" s="15"/>
      <c r="H262" s="15"/>
      <c r="I262" s="17">
        <v>2</v>
      </c>
      <c r="J262" s="17">
        <v>4</v>
      </c>
      <c r="K262" s="18" t="str">
        <f>HYPERLINK("http://twitter.com/download/android","Twitter for Android")</f>
        <v>Twitter for Android</v>
      </c>
      <c r="L262" s="17">
        <v>2083</v>
      </c>
      <c r="M262" s="17">
        <v>2189</v>
      </c>
      <c r="N262" s="17">
        <v>140</v>
      </c>
      <c r="O262" s="19"/>
      <c r="P262" s="10">
        <v>39853.082071759258</v>
      </c>
      <c r="Q262" s="20" t="s">
        <v>211</v>
      </c>
      <c r="R262" s="21" t="s">
        <v>212</v>
      </c>
      <c r="S262" s="16" t="s">
        <v>213</v>
      </c>
      <c r="T262" s="15"/>
      <c r="U262" s="14" t="str">
        <f>HYPERLINK("https://pbs.twimg.com/profile_images/619416622705414144/2Tyn4jkC.png","View")</f>
        <v>View</v>
      </c>
    </row>
    <row r="263" spans="1:21" ht="30">
      <c r="A263" s="10">
        <v>43346.172013888892</v>
      </c>
      <c r="B263" s="11" t="str">
        <f>HYPERLINK("https://twitter.com/ellie__miles","@ellie__miles")</f>
        <v>@ellie__miles</v>
      </c>
      <c r="C263" s="12" t="s">
        <v>227</v>
      </c>
      <c r="D263" s="13" t="s">
        <v>728</v>
      </c>
      <c r="E263" s="14" t="str">
        <f>HYPERLINK("https://twitter.com/ellie__miles/status/1036571430505332736","1036571430505332736")</f>
        <v>1036571430505332736</v>
      </c>
      <c r="F263" s="15"/>
      <c r="G263" s="15"/>
      <c r="H263" s="15"/>
      <c r="I263" s="17">
        <v>1</v>
      </c>
      <c r="J263" s="17">
        <v>3</v>
      </c>
      <c r="K263" s="18" t="str">
        <f>HYPERLINK("https://mobile.twitter.com","Twitter Lite")</f>
        <v>Twitter Lite</v>
      </c>
      <c r="L263" s="17">
        <v>1051</v>
      </c>
      <c r="M263" s="17">
        <v>645</v>
      </c>
      <c r="N263" s="17">
        <v>29</v>
      </c>
      <c r="O263" s="19"/>
      <c r="P263" s="10">
        <v>41065.331909722227</v>
      </c>
      <c r="Q263" s="20" t="s">
        <v>56</v>
      </c>
      <c r="R263" s="21" t="s">
        <v>229</v>
      </c>
      <c r="S263" s="16" t="s">
        <v>230</v>
      </c>
      <c r="T263" s="15"/>
      <c r="U263" s="14" t="str">
        <f>HYPERLINK("https://pbs.twimg.com/profile_images/1017465512325009408/sUSUo4fg.jpg","View")</f>
        <v>View</v>
      </c>
    </row>
    <row r="264" spans="1:21" ht="40">
      <c r="A264" s="10">
        <v>43346.170960648145</v>
      </c>
      <c r="B264" s="11" t="str">
        <f>HYPERLINK("https://twitter.com/CaylinSSmith","@CaylinSSmith")</f>
        <v>@CaylinSSmith</v>
      </c>
      <c r="C264" s="12" t="s">
        <v>204</v>
      </c>
      <c r="D264" s="13" t="s">
        <v>729</v>
      </c>
      <c r="E264" s="14" t="str">
        <f>HYPERLINK("https://twitter.com/CaylinSSmith/status/1036571048047779841","1036571048047779841")</f>
        <v>1036571048047779841</v>
      </c>
      <c r="F264" s="16" t="s">
        <v>730</v>
      </c>
      <c r="G264" s="16" t="s">
        <v>731</v>
      </c>
      <c r="H264" s="15"/>
      <c r="I264" s="17">
        <v>8</v>
      </c>
      <c r="J264" s="17">
        <v>15</v>
      </c>
      <c r="K264" s="18" t="str">
        <f>HYPERLINK("http://twitter.com/download/android","Twitter for Android")</f>
        <v>Twitter for Android</v>
      </c>
      <c r="L264" s="17">
        <v>1013</v>
      </c>
      <c r="M264" s="17">
        <v>2629</v>
      </c>
      <c r="N264" s="17">
        <v>68</v>
      </c>
      <c r="O264" s="19"/>
      <c r="P264" s="10">
        <v>40376.763761574075</v>
      </c>
      <c r="Q264" s="20" t="s">
        <v>206</v>
      </c>
      <c r="R264" s="21" t="s">
        <v>207</v>
      </c>
      <c r="S264" s="16" t="s">
        <v>208</v>
      </c>
      <c r="T264" s="15"/>
      <c r="U264" s="14" t="str">
        <f>HYPERLINK("https://pbs.twimg.com/profile_images/1027591872028524545/k9Xatqj3.jpg","View")</f>
        <v>View</v>
      </c>
    </row>
    <row r="265" spans="1:21" ht="40">
      <c r="A265" s="10">
        <v>43346.170659722222</v>
      </c>
      <c r="B265" s="11" t="str">
        <f>HYPERLINK("https://twitter.com/MariaEcoGl","@MariaEcoGl")</f>
        <v>@MariaEcoGl</v>
      </c>
      <c r="C265" s="12" t="s">
        <v>304</v>
      </c>
      <c r="D265" s="13" t="s">
        <v>732</v>
      </c>
      <c r="E265" s="14" t="str">
        <f>HYPERLINK("https://twitter.com/MariaEcoGl/status/1036570939587260416","1036570939587260416")</f>
        <v>1036570939587260416</v>
      </c>
      <c r="F265" s="15"/>
      <c r="G265" s="16" t="s">
        <v>733</v>
      </c>
      <c r="H265" s="15"/>
      <c r="I265" s="17">
        <v>4</v>
      </c>
      <c r="J265" s="17">
        <v>7</v>
      </c>
      <c r="K265" s="18" t="str">
        <f>HYPERLINK("http://twitter.com/download/iphone","Twitter for iPhone")</f>
        <v>Twitter for iPhone</v>
      </c>
      <c r="L265" s="17">
        <v>1479</v>
      </c>
      <c r="M265" s="17">
        <v>2085</v>
      </c>
      <c r="N265" s="17">
        <v>43</v>
      </c>
      <c r="O265" s="19"/>
      <c r="P265" s="10">
        <v>41611.245787037034</v>
      </c>
      <c r="Q265" s="20" t="s">
        <v>307</v>
      </c>
      <c r="R265" s="21" t="s">
        <v>308</v>
      </c>
      <c r="S265" s="16" t="s">
        <v>309</v>
      </c>
      <c r="T265" s="15"/>
      <c r="U265" s="14" t="str">
        <f>HYPERLINK("https://pbs.twimg.com/profile_images/600251605141692416/YeaqAIJB.png","View")</f>
        <v>View</v>
      </c>
    </row>
    <row r="266" spans="1:21" ht="40">
      <c r="A266" s="10">
        <v>43346.170092592598</v>
      </c>
      <c r="B266" s="11" t="str">
        <f>HYPERLINK("https://twitter.com/OonaghTweets","@OonaghTweets")</f>
        <v>@OonaghTweets</v>
      </c>
      <c r="C266" s="12" t="s">
        <v>432</v>
      </c>
      <c r="D266" s="13" t="s">
        <v>734</v>
      </c>
      <c r="E266" s="14" t="str">
        <f>HYPERLINK("https://twitter.com/OonaghTweets/status/1036570737216315392","1036570737216315392")</f>
        <v>1036570737216315392</v>
      </c>
      <c r="F266" s="16" t="s">
        <v>735</v>
      </c>
      <c r="G266" s="16" t="s">
        <v>736</v>
      </c>
      <c r="H266" s="15"/>
      <c r="I266" s="17">
        <v>0</v>
      </c>
      <c r="J266" s="17">
        <v>0</v>
      </c>
      <c r="K266" s="18" t="str">
        <f t="shared" ref="K266:K268" si="67">HYPERLINK("http://twitter.com/download/android","Twitter for Android")</f>
        <v>Twitter for Android</v>
      </c>
      <c r="L266" s="17">
        <v>5125</v>
      </c>
      <c r="M266" s="17">
        <v>4778</v>
      </c>
      <c r="N266" s="17">
        <v>213</v>
      </c>
      <c r="O266" s="19"/>
      <c r="P266" s="10">
        <v>40455.179166666669</v>
      </c>
      <c r="Q266" s="20" t="s">
        <v>435</v>
      </c>
      <c r="R266" s="21" t="s">
        <v>436</v>
      </c>
      <c r="S266" s="16" t="s">
        <v>437</v>
      </c>
      <c r="T266" s="15"/>
      <c r="U266" s="14" t="str">
        <f>HYPERLINK("https://pbs.twimg.com/profile_images/907377477491851265/9i6lqAFw.jpg","View")</f>
        <v>View</v>
      </c>
    </row>
    <row r="267" spans="1:21" ht="40">
      <c r="A267" s="10">
        <v>43346.169687500005</v>
      </c>
      <c r="B267" s="11" t="str">
        <f>HYPERLINK("https://twitter.com/GeorgiaMallin","@GeorgiaMallin")</f>
        <v>@GeorgiaMallin</v>
      </c>
      <c r="C267" s="12" t="s">
        <v>126</v>
      </c>
      <c r="D267" s="13" t="s">
        <v>737</v>
      </c>
      <c r="E267" s="14" t="str">
        <f>HYPERLINK("https://twitter.com/GeorgiaMallin/status/1036570590533042176","1036570590533042176")</f>
        <v>1036570590533042176</v>
      </c>
      <c r="F267" s="15"/>
      <c r="G267" s="16" t="s">
        <v>738</v>
      </c>
      <c r="H267" s="15"/>
      <c r="I267" s="17">
        <v>1</v>
      </c>
      <c r="J267" s="17">
        <v>3</v>
      </c>
      <c r="K267" s="18" t="str">
        <f t="shared" si="67"/>
        <v>Twitter for Android</v>
      </c>
      <c r="L267" s="17">
        <v>528</v>
      </c>
      <c r="M267" s="17">
        <v>1025</v>
      </c>
      <c r="N267" s="17">
        <v>11</v>
      </c>
      <c r="O267" s="19"/>
      <c r="P267" s="10">
        <v>40905.701087962967</v>
      </c>
      <c r="Q267" s="20" t="s">
        <v>41</v>
      </c>
      <c r="R267" s="21" t="s">
        <v>128</v>
      </c>
      <c r="S267" s="15"/>
      <c r="T267" s="15"/>
      <c r="U267" s="14" t="str">
        <f>HYPERLINK("https://pbs.twimg.com/profile_images/874631103193206784/akQp_6iv.jpg","View")</f>
        <v>View</v>
      </c>
    </row>
    <row r="268" spans="1:21" ht="40">
      <c r="A268" s="10">
        <v>43346.168506944443</v>
      </c>
      <c r="B268" s="11" t="str">
        <f>HYPERLINK("https://twitter.com/Sarah_DPC","@Sarah_DPC")</f>
        <v>@Sarah_DPC</v>
      </c>
      <c r="C268" s="12" t="s">
        <v>178</v>
      </c>
      <c r="D268" s="13" t="s">
        <v>739</v>
      </c>
      <c r="E268" s="14" t="str">
        <f>HYPERLINK("https://twitter.com/Sarah_DPC/status/1036570160897904642","1036570160897904642")</f>
        <v>1036570160897904642</v>
      </c>
      <c r="F268" s="15"/>
      <c r="G268" s="16" t="s">
        <v>740</v>
      </c>
      <c r="H268" s="15"/>
      <c r="I268" s="17">
        <v>2</v>
      </c>
      <c r="J268" s="17">
        <v>3</v>
      </c>
      <c r="K268" s="18" t="str">
        <f t="shared" si="67"/>
        <v>Twitter for Android</v>
      </c>
      <c r="L268" s="17">
        <v>1270</v>
      </c>
      <c r="M268" s="17">
        <v>715</v>
      </c>
      <c r="N268" s="17">
        <v>51</v>
      </c>
      <c r="O268" s="19"/>
      <c r="P268" s="10">
        <v>41373.188576388886</v>
      </c>
      <c r="Q268" s="20" t="s">
        <v>180</v>
      </c>
      <c r="R268" s="21" t="s">
        <v>181</v>
      </c>
      <c r="S268" s="16" t="s">
        <v>182</v>
      </c>
      <c r="T268" s="15"/>
      <c r="U268" s="14" t="str">
        <f>HYPERLINK("https://pbs.twimg.com/profile_images/867263862726434816/K2qoO6sD.jpg","View")</f>
        <v>View</v>
      </c>
    </row>
    <row r="269" spans="1:21" ht="40">
      <c r="A269" s="10">
        <v>43346.168356481481</v>
      </c>
      <c r="B269" s="11" t="str">
        <f>HYPERLINK("https://twitter.com/natalieharrower","@natalieharrower")</f>
        <v>@natalieharrower</v>
      </c>
      <c r="C269" s="12" t="s">
        <v>59</v>
      </c>
      <c r="D269" s="13" t="s">
        <v>741</v>
      </c>
      <c r="E269" s="14" t="str">
        <f>HYPERLINK("https://twitter.com/natalieharrower/status/1036570107152097280","1036570107152097280")</f>
        <v>1036570107152097280</v>
      </c>
      <c r="F269" s="15"/>
      <c r="G269" s="15"/>
      <c r="H269" s="15"/>
      <c r="I269" s="17">
        <v>0</v>
      </c>
      <c r="J269" s="17">
        <v>1</v>
      </c>
      <c r="K269" s="18" t="str">
        <f>HYPERLINK("http://twitter.com","Twitter Web Client")</f>
        <v>Twitter Web Client</v>
      </c>
      <c r="L269" s="17">
        <v>2422</v>
      </c>
      <c r="M269" s="17">
        <v>2344</v>
      </c>
      <c r="N269" s="17">
        <v>164</v>
      </c>
      <c r="O269" s="19"/>
      <c r="P269" s="10">
        <v>39751.545844907407</v>
      </c>
      <c r="Q269" s="20" t="s">
        <v>61</v>
      </c>
      <c r="R269" s="21" t="s">
        <v>62</v>
      </c>
      <c r="S269" s="16" t="s">
        <v>63</v>
      </c>
      <c r="T269" s="15"/>
      <c r="U269" s="14" t="str">
        <f>HYPERLINK("https://pbs.twimg.com/profile_images/992918977172000769/pPUq69N4.jpg","View")</f>
        <v>View</v>
      </c>
    </row>
    <row r="270" spans="1:21" ht="30">
      <c r="A270" s="10">
        <v>43346.167951388888</v>
      </c>
      <c r="B270" s="11" t="str">
        <f>HYPERLINK("https://twitter.com/arranjrees","@arranjrees")</f>
        <v>@arranjrees</v>
      </c>
      <c r="C270" s="12" t="s">
        <v>490</v>
      </c>
      <c r="D270" s="13" t="s">
        <v>742</v>
      </c>
      <c r="E270" s="14" t="str">
        <f>HYPERLINK("https://twitter.com/arranjrees/status/1036569959999127553","1036569959999127553")</f>
        <v>1036569959999127553</v>
      </c>
      <c r="F270" s="15"/>
      <c r="G270" s="15"/>
      <c r="H270" s="15"/>
      <c r="I270" s="17">
        <v>1</v>
      </c>
      <c r="J270" s="17">
        <v>2</v>
      </c>
      <c r="K270" s="18" t="str">
        <f>HYPERLINK("http://twitter.com/download/android","Twitter for Android")</f>
        <v>Twitter for Android</v>
      </c>
      <c r="L270" s="17">
        <v>1717</v>
      </c>
      <c r="M270" s="17">
        <v>929</v>
      </c>
      <c r="N270" s="17">
        <v>32</v>
      </c>
      <c r="O270" s="19"/>
      <c r="P270" s="10">
        <v>40550.554884259262</v>
      </c>
      <c r="Q270" s="20" t="s">
        <v>458</v>
      </c>
      <c r="R270" s="21" t="s">
        <v>493</v>
      </c>
      <c r="S270" s="16" t="s">
        <v>494</v>
      </c>
      <c r="T270" s="15"/>
      <c r="U270" s="14" t="str">
        <f>HYPERLINK("https://pbs.twimg.com/profile_images/1027536161080860673/iP5ROxDR.jpg","View")</f>
        <v>View</v>
      </c>
    </row>
    <row r="271" spans="1:21" ht="20">
      <c r="A271" s="10">
        <v>43346.167384259257</v>
      </c>
      <c r="B271" s="11" t="str">
        <f>HYPERLINK("https://twitter.com/LegoMoth","@LegoMoth")</f>
        <v>@LegoMoth</v>
      </c>
      <c r="C271" s="12" t="s">
        <v>743</v>
      </c>
      <c r="D271" s="13" t="s">
        <v>744</v>
      </c>
      <c r="E271" s="14" t="str">
        <f>HYPERLINK("https://twitter.com/LegoMoth/status/1036569754696343552","1036569754696343552")</f>
        <v>1036569754696343552</v>
      </c>
      <c r="F271" s="15"/>
      <c r="G271" s="16" t="s">
        <v>745</v>
      </c>
      <c r="H271" s="15"/>
      <c r="I271" s="17">
        <v>8</v>
      </c>
      <c r="J271" s="17">
        <v>12</v>
      </c>
      <c r="K271" s="18" t="str">
        <f t="shared" ref="K271:K272" si="68">HYPERLINK("http://twitter.com/download/iphone","Twitter for iPhone")</f>
        <v>Twitter for iPhone</v>
      </c>
      <c r="L271" s="17">
        <v>38</v>
      </c>
      <c r="M271" s="17">
        <v>14</v>
      </c>
      <c r="N271" s="17">
        <v>0</v>
      </c>
      <c r="O271" s="19"/>
      <c r="P271" s="10">
        <v>41713.459537037037</v>
      </c>
      <c r="Q271" s="20" t="s">
        <v>56</v>
      </c>
      <c r="R271" s="22"/>
      <c r="S271" s="15"/>
      <c r="T271" s="15"/>
      <c r="U271" s="14" t="str">
        <f>HYPERLINK("https://pbs.twimg.com/profile_images/732633722311282689/QARyHoVY.jpg","View")</f>
        <v>View</v>
      </c>
    </row>
    <row r="272" spans="1:21" ht="40">
      <c r="A272" s="10">
        <v>43346.166504629626</v>
      </c>
      <c r="B272" s="11" t="str">
        <f>HYPERLINK("https://twitter.com/HLFLondon","@HLFLondon")</f>
        <v>@HLFLondon</v>
      </c>
      <c r="C272" s="12" t="s">
        <v>54</v>
      </c>
      <c r="D272" s="13" t="s">
        <v>746</v>
      </c>
      <c r="E272" s="14" t="str">
        <f>HYPERLINK("https://twitter.com/HLFLondon/status/1036569434599694336","1036569434599694336")</f>
        <v>1036569434599694336</v>
      </c>
      <c r="F272" s="15"/>
      <c r="G272" s="15"/>
      <c r="H272" s="15"/>
      <c r="I272" s="17">
        <v>3</v>
      </c>
      <c r="J272" s="17">
        <v>3</v>
      </c>
      <c r="K272" s="18" t="str">
        <f t="shared" si="68"/>
        <v>Twitter for iPhone</v>
      </c>
      <c r="L272" s="17">
        <v>3962</v>
      </c>
      <c r="M272" s="17">
        <v>1516</v>
      </c>
      <c r="N272" s="17">
        <v>74</v>
      </c>
      <c r="O272" s="19"/>
      <c r="P272" s="10">
        <v>41442.105706018519</v>
      </c>
      <c r="Q272" s="20" t="s">
        <v>56</v>
      </c>
      <c r="R272" s="21" t="s">
        <v>57</v>
      </c>
      <c r="S272" s="16" t="s">
        <v>58</v>
      </c>
      <c r="T272" s="15"/>
      <c r="U272" s="14" t="str">
        <f>HYPERLINK("https://pbs.twimg.com/profile_images/694839380582764544/6N71IZbb.jpg","View")</f>
        <v>View</v>
      </c>
    </row>
    <row r="273" spans="1:21" ht="40">
      <c r="A273" s="10">
        <v>43346.166458333333</v>
      </c>
      <c r="B273" s="11" t="str">
        <f>HYPERLINK("https://twitter.com/CKamposiori","@CKamposiori")</f>
        <v>@CKamposiori</v>
      </c>
      <c r="C273" s="12" t="s">
        <v>218</v>
      </c>
      <c r="D273" s="13" t="s">
        <v>747</v>
      </c>
      <c r="E273" s="14" t="str">
        <f>HYPERLINK("https://twitter.com/CKamposiori/status/1036569416719380481","1036569416719380481")</f>
        <v>1036569416719380481</v>
      </c>
      <c r="F273" s="15"/>
      <c r="G273" s="15"/>
      <c r="H273" s="15"/>
      <c r="I273" s="17">
        <v>0</v>
      </c>
      <c r="J273" s="17">
        <v>2</v>
      </c>
      <c r="K273" s="18" t="str">
        <f t="shared" ref="K273:K274" si="69">HYPERLINK("http://twitter.com/download/android","Twitter for Android")</f>
        <v>Twitter for Android</v>
      </c>
      <c r="L273" s="17">
        <v>1025</v>
      </c>
      <c r="M273" s="17">
        <v>1024</v>
      </c>
      <c r="N273" s="17">
        <v>62</v>
      </c>
      <c r="O273" s="19"/>
      <c r="P273" s="10">
        <v>41035.594293981485</v>
      </c>
      <c r="Q273" s="20" t="s">
        <v>220</v>
      </c>
      <c r="R273" s="21" t="s">
        <v>221</v>
      </c>
      <c r="S273" s="15"/>
      <c r="T273" s="15"/>
      <c r="U273" s="14" t="str">
        <f>HYPERLINK("https://pbs.twimg.com/profile_images/512669996871208960/UyoWDxT7.jpeg","View")</f>
        <v>View</v>
      </c>
    </row>
    <row r="274" spans="1:21" ht="20">
      <c r="A274" s="10">
        <v>43346.166215277779</v>
      </c>
      <c r="B274" s="11" t="str">
        <f>HYPERLINK("https://twitter.com/WilliamKilbride","@WilliamKilbride")</f>
        <v>@WilliamKilbride</v>
      </c>
      <c r="C274" s="12" t="s">
        <v>49</v>
      </c>
      <c r="D274" s="13" t="s">
        <v>748</v>
      </c>
      <c r="E274" s="14" t="str">
        <f>HYPERLINK("https://twitter.com/WilliamKilbride/status/1036569330333429761","1036569330333429761")</f>
        <v>1036569330333429761</v>
      </c>
      <c r="F274" s="15"/>
      <c r="G274" s="16" t="s">
        <v>749</v>
      </c>
      <c r="H274" s="15"/>
      <c r="I274" s="17">
        <v>1</v>
      </c>
      <c r="J274" s="17">
        <v>7</v>
      </c>
      <c r="K274" s="18" t="str">
        <f t="shared" si="69"/>
        <v>Twitter for Android</v>
      </c>
      <c r="L274" s="17">
        <v>3065</v>
      </c>
      <c r="M274" s="17">
        <v>582</v>
      </c>
      <c r="N274" s="17">
        <v>180</v>
      </c>
      <c r="O274" s="19"/>
      <c r="P274" s="10">
        <v>39917.310949074075</v>
      </c>
      <c r="Q274" s="20" t="s">
        <v>51</v>
      </c>
      <c r="R274" s="21" t="s">
        <v>52</v>
      </c>
      <c r="S274" s="16" t="s">
        <v>53</v>
      </c>
      <c r="T274" s="15"/>
      <c r="U274" s="14" t="str">
        <f>HYPERLINK("https://pbs.twimg.com/profile_images/606802634499080192/ZWLKLGdh.png","View")</f>
        <v>View</v>
      </c>
    </row>
    <row r="275" spans="1:21" ht="50">
      <c r="A275" s="10">
        <v>43346.165868055556</v>
      </c>
      <c r="B275" s="11" t="str">
        <f>HYPERLINK("https://twitter.com/MariaEcoGl","@MariaEcoGl")</f>
        <v>@MariaEcoGl</v>
      </c>
      <c r="C275" s="12" t="s">
        <v>304</v>
      </c>
      <c r="D275" s="13" t="s">
        <v>750</v>
      </c>
      <c r="E275" s="14" t="str">
        <f>HYPERLINK("https://twitter.com/MariaEcoGl/status/1036569204932136960","1036569204932136960")</f>
        <v>1036569204932136960</v>
      </c>
      <c r="F275" s="15"/>
      <c r="G275" s="15"/>
      <c r="H275" s="15"/>
      <c r="I275" s="17">
        <v>2</v>
      </c>
      <c r="J275" s="17">
        <v>2</v>
      </c>
      <c r="K275" s="18" t="str">
        <f t="shared" ref="K275:K276" si="70">HYPERLINK("http://twitter.com/download/iphone","Twitter for iPhone")</f>
        <v>Twitter for iPhone</v>
      </c>
      <c r="L275" s="17">
        <v>1479</v>
      </c>
      <c r="M275" s="17">
        <v>2085</v>
      </c>
      <c r="N275" s="17">
        <v>43</v>
      </c>
      <c r="O275" s="19"/>
      <c r="P275" s="10">
        <v>41611.245787037034</v>
      </c>
      <c r="Q275" s="20" t="s">
        <v>307</v>
      </c>
      <c r="R275" s="21" t="s">
        <v>308</v>
      </c>
      <c r="S275" s="16" t="s">
        <v>309</v>
      </c>
      <c r="T275" s="15"/>
      <c r="U275" s="14" t="str">
        <f>HYPERLINK("https://pbs.twimg.com/profile_images/600251605141692416/YeaqAIJB.png","View")</f>
        <v>View</v>
      </c>
    </row>
    <row r="276" spans="1:21" ht="40">
      <c r="A276" s="10">
        <v>43346.165833333333</v>
      </c>
      <c r="B276" s="11" t="str">
        <f>HYPERLINK("https://twitter.com/ElisaGravil","@ElisaGravil")</f>
        <v>@ElisaGravil</v>
      </c>
      <c r="C276" s="12" t="s">
        <v>138</v>
      </c>
      <c r="D276" s="13" t="s">
        <v>751</v>
      </c>
      <c r="E276" s="14" t="str">
        <f>HYPERLINK("https://twitter.com/ElisaGravil/status/1036569192420569088","1036569192420569088")</f>
        <v>1036569192420569088</v>
      </c>
      <c r="F276" s="15"/>
      <c r="G276" s="16" t="s">
        <v>752</v>
      </c>
      <c r="H276" s="15"/>
      <c r="I276" s="17">
        <v>1</v>
      </c>
      <c r="J276" s="17">
        <v>0</v>
      </c>
      <c r="K276" s="18" t="str">
        <f t="shared" si="70"/>
        <v>Twitter for iPhone</v>
      </c>
      <c r="L276" s="17">
        <v>704</v>
      </c>
      <c r="M276" s="17">
        <v>1378</v>
      </c>
      <c r="N276" s="17">
        <v>18</v>
      </c>
      <c r="O276" s="19"/>
      <c r="P276" s="10">
        <v>40164.047962962963</v>
      </c>
      <c r="Q276" s="20" t="s">
        <v>141</v>
      </c>
      <c r="R276" s="21" t="s">
        <v>142</v>
      </c>
      <c r="S276" s="16" t="s">
        <v>143</v>
      </c>
      <c r="T276" s="15"/>
      <c r="U276" s="14" t="str">
        <f>HYPERLINK("https://pbs.twimg.com/profile_images/943772601150820353/-K75sKA9.jpg","View")</f>
        <v>View</v>
      </c>
    </row>
    <row r="277" spans="1:21" ht="40">
      <c r="A277" s="10">
        <v>43346.16506944444</v>
      </c>
      <c r="B277" s="11" t="str">
        <f>HYPERLINK("https://twitter.com/OonaghTweets","@OonaghTweets")</f>
        <v>@OonaghTweets</v>
      </c>
      <c r="C277" s="12" t="s">
        <v>432</v>
      </c>
      <c r="D277" s="13" t="s">
        <v>753</v>
      </c>
      <c r="E277" s="14" t="str">
        <f>HYPERLINK("https://twitter.com/OonaghTweets/status/1036568916066226176","1036568916066226176")</f>
        <v>1036568916066226176</v>
      </c>
      <c r="F277" s="15"/>
      <c r="G277" s="16" t="s">
        <v>754</v>
      </c>
      <c r="H277" s="15"/>
      <c r="I277" s="17">
        <v>1</v>
      </c>
      <c r="J277" s="17">
        <v>3</v>
      </c>
      <c r="K277" s="18" t="str">
        <f>HYPERLINK("http://twitter.com/download/android","Twitter for Android")</f>
        <v>Twitter for Android</v>
      </c>
      <c r="L277" s="17">
        <v>5125</v>
      </c>
      <c r="M277" s="17">
        <v>4778</v>
      </c>
      <c r="N277" s="17">
        <v>213</v>
      </c>
      <c r="O277" s="19"/>
      <c r="P277" s="10">
        <v>40455.179166666669</v>
      </c>
      <c r="Q277" s="20" t="s">
        <v>435</v>
      </c>
      <c r="R277" s="21" t="s">
        <v>436</v>
      </c>
      <c r="S277" s="16" t="s">
        <v>437</v>
      </c>
      <c r="T277" s="15"/>
      <c r="U277" s="14" t="str">
        <f>HYPERLINK("https://pbs.twimg.com/profile_images/907377477491851265/9i6lqAFw.jpg","View")</f>
        <v>View</v>
      </c>
    </row>
    <row r="278" spans="1:21" ht="40">
      <c r="A278" s="10">
        <v>43346.163043981476</v>
      </c>
      <c r="B278" s="11" t="str">
        <f>HYPERLINK("https://twitter.com/MariaEcoGl","@MariaEcoGl")</f>
        <v>@MariaEcoGl</v>
      </c>
      <c r="C278" s="12" t="s">
        <v>304</v>
      </c>
      <c r="D278" s="13" t="s">
        <v>755</v>
      </c>
      <c r="E278" s="14" t="str">
        <f>HYPERLINK("https://twitter.com/MariaEcoGl/status/1036568179730993152","1036568179730993152")</f>
        <v>1036568179730993152</v>
      </c>
      <c r="F278" s="15"/>
      <c r="G278" s="15"/>
      <c r="H278" s="15"/>
      <c r="I278" s="17">
        <v>1</v>
      </c>
      <c r="J278" s="17">
        <v>2</v>
      </c>
      <c r="K278" s="18" t="str">
        <f>HYPERLINK("http://twitter.com/download/iphone","Twitter for iPhone")</f>
        <v>Twitter for iPhone</v>
      </c>
      <c r="L278" s="17">
        <v>1479</v>
      </c>
      <c r="M278" s="17">
        <v>2085</v>
      </c>
      <c r="N278" s="17">
        <v>43</v>
      </c>
      <c r="O278" s="19"/>
      <c r="P278" s="10">
        <v>41611.245787037034</v>
      </c>
      <c r="Q278" s="20" t="s">
        <v>307</v>
      </c>
      <c r="R278" s="21" t="s">
        <v>308</v>
      </c>
      <c r="S278" s="16" t="s">
        <v>309</v>
      </c>
      <c r="T278" s="15"/>
      <c r="U278" s="14" t="str">
        <f>HYPERLINK("https://pbs.twimg.com/profile_images/600251605141692416/YeaqAIJB.png","View")</f>
        <v>View</v>
      </c>
    </row>
    <row r="279" spans="1:21" ht="30">
      <c r="A279" s="10">
        <v>43346.162164351852</v>
      </c>
      <c r="B279" s="11" t="str">
        <f>HYPERLINK("https://twitter.com/lisamgriffith","@lisamgriffith")</f>
        <v>@lisamgriffith</v>
      </c>
      <c r="C279" s="12" t="s">
        <v>756</v>
      </c>
      <c r="D279" s="13" t="s">
        <v>757</v>
      </c>
      <c r="E279" s="14" t="str">
        <f>HYPERLINK("https://twitter.com/lisamgriffith/status/1036567862922670080","1036567862922670080")</f>
        <v>1036567862922670080</v>
      </c>
      <c r="F279" s="15"/>
      <c r="G279" s="16" t="s">
        <v>758</v>
      </c>
      <c r="H279" s="15"/>
      <c r="I279" s="17">
        <v>1</v>
      </c>
      <c r="J279" s="17">
        <v>2</v>
      </c>
      <c r="K279" s="18" t="str">
        <f t="shared" ref="K279:K281" si="71">HYPERLINK("http://twitter.com/download/android","Twitter for Android")</f>
        <v>Twitter for Android</v>
      </c>
      <c r="L279" s="17">
        <v>1235</v>
      </c>
      <c r="M279" s="17">
        <v>1185</v>
      </c>
      <c r="N279" s="17">
        <v>39</v>
      </c>
      <c r="O279" s="19"/>
      <c r="P279" s="10">
        <v>40619.293078703704</v>
      </c>
      <c r="Q279" s="20" t="s">
        <v>375</v>
      </c>
      <c r="R279" s="21" t="s">
        <v>759</v>
      </c>
      <c r="S279" s="16" t="s">
        <v>760</v>
      </c>
      <c r="T279" s="15"/>
      <c r="U279" s="14" t="str">
        <f>HYPERLINK("https://pbs.twimg.com/profile_images/1013113472601743361/eLE_Xk7U.jpg","View")</f>
        <v>View</v>
      </c>
    </row>
    <row r="280" spans="1:21" ht="20">
      <c r="A280" s="10">
        <v>43346.161944444444</v>
      </c>
      <c r="B280" s="11" t="str">
        <f>HYPERLINK("https://twitter.com/ImmyLloyd","@ImmyLloyd")</f>
        <v>@ImmyLloyd</v>
      </c>
      <c r="C280" s="12" t="s">
        <v>761</v>
      </c>
      <c r="D280" s="13" t="s">
        <v>762</v>
      </c>
      <c r="E280" s="14" t="str">
        <f>HYPERLINK("https://twitter.com/ImmyLloyd/status/1036567782882717696","1036567782882717696")</f>
        <v>1036567782882717696</v>
      </c>
      <c r="F280" s="15"/>
      <c r="G280" s="16" t="s">
        <v>763</v>
      </c>
      <c r="H280" s="15"/>
      <c r="I280" s="17">
        <v>0</v>
      </c>
      <c r="J280" s="17">
        <v>1</v>
      </c>
      <c r="K280" s="18" t="str">
        <f t="shared" si="71"/>
        <v>Twitter for Android</v>
      </c>
      <c r="L280" s="17">
        <v>79</v>
      </c>
      <c r="M280" s="17">
        <v>146</v>
      </c>
      <c r="N280" s="17">
        <v>3</v>
      </c>
      <c r="O280" s="19"/>
      <c r="P280" s="10">
        <v>40798.433379629627</v>
      </c>
      <c r="Q280" s="20" t="s">
        <v>764</v>
      </c>
      <c r="R280" s="21" t="s">
        <v>765</v>
      </c>
      <c r="S280" s="15"/>
      <c r="T280" s="15"/>
      <c r="U280" s="14" t="str">
        <f>HYPERLINK("https://pbs.twimg.com/profile_images/1010065287054594048/lF_dyFuM.jpg","View")</f>
        <v>View</v>
      </c>
    </row>
    <row r="281" spans="1:21" ht="30">
      <c r="A281" s="10">
        <v>43346.161689814813</v>
      </c>
      <c r="B281" s="11" t="str">
        <f>HYPERLINK("https://twitter.com/CaylinSSmith","@CaylinSSmith")</f>
        <v>@CaylinSSmith</v>
      </c>
      <c r="C281" s="12" t="s">
        <v>204</v>
      </c>
      <c r="D281" s="13" t="s">
        <v>766</v>
      </c>
      <c r="E281" s="14" t="str">
        <f>HYPERLINK("https://twitter.com/CaylinSSmith/status/1036567689030979584","1036567689030979584")</f>
        <v>1036567689030979584</v>
      </c>
      <c r="F281" s="15"/>
      <c r="G281" s="15"/>
      <c r="H281" s="15"/>
      <c r="I281" s="17">
        <v>0</v>
      </c>
      <c r="J281" s="17">
        <v>1</v>
      </c>
      <c r="K281" s="18" t="str">
        <f t="shared" si="71"/>
        <v>Twitter for Android</v>
      </c>
      <c r="L281" s="17">
        <v>1013</v>
      </c>
      <c r="M281" s="17">
        <v>2629</v>
      </c>
      <c r="N281" s="17">
        <v>68</v>
      </c>
      <c r="O281" s="19"/>
      <c r="P281" s="10">
        <v>40376.763761574075</v>
      </c>
      <c r="Q281" s="20" t="s">
        <v>206</v>
      </c>
      <c r="R281" s="21" t="s">
        <v>207</v>
      </c>
      <c r="S281" s="16" t="s">
        <v>208</v>
      </c>
      <c r="T281" s="15"/>
      <c r="U281" s="14" t="str">
        <f>HYPERLINK("https://pbs.twimg.com/profile_images/1027591872028524545/k9Xatqj3.jpg","View")</f>
        <v>View</v>
      </c>
    </row>
    <row r="282" spans="1:21" ht="40">
      <c r="A282" s="10">
        <v>43346.161458333328</v>
      </c>
      <c r="B282" s="11" t="str">
        <f>HYPERLINK("https://twitter.com/CoSector_UoL","@CoSector_UoL")</f>
        <v>@CoSector_UoL</v>
      </c>
      <c r="C282" s="12" t="s">
        <v>365</v>
      </c>
      <c r="D282" s="13" t="s">
        <v>767</v>
      </c>
      <c r="E282" s="14" t="str">
        <f>HYPERLINK("https://twitter.com/CoSector_UoL/status/1036567605874778113","1036567605874778113")</f>
        <v>1036567605874778113</v>
      </c>
      <c r="F282" s="15"/>
      <c r="G282" s="15"/>
      <c r="H282" s="15"/>
      <c r="I282" s="17">
        <v>1</v>
      </c>
      <c r="J282" s="17">
        <v>3</v>
      </c>
      <c r="K282" s="18" t="str">
        <f>HYPERLINK("http://www.hubspot.com/","HubSpot")</f>
        <v>HubSpot</v>
      </c>
      <c r="L282" s="17">
        <v>276</v>
      </c>
      <c r="M282" s="17">
        <v>181</v>
      </c>
      <c r="N282" s="17">
        <v>72</v>
      </c>
      <c r="O282" s="19"/>
      <c r="P282" s="10">
        <v>42646.315104166672</v>
      </c>
      <c r="Q282" s="20" t="s">
        <v>41</v>
      </c>
      <c r="R282" s="21" t="s">
        <v>368</v>
      </c>
      <c r="S282" s="16" t="s">
        <v>369</v>
      </c>
      <c r="T282" s="15"/>
      <c r="U282" s="14" t="str">
        <f>HYPERLINK("https://pbs.twimg.com/profile_images/843757398221361154/z6PbdLFZ.jpg","View")</f>
        <v>View</v>
      </c>
    </row>
    <row r="283" spans="1:21" ht="30">
      <c r="A283" s="10">
        <v>43346.161226851851</v>
      </c>
      <c r="B283" s="11" t="str">
        <f>HYPERLINK("https://twitter.com/SLIPIreland","@SLIPIreland")</f>
        <v>@SLIPIreland</v>
      </c>
      <c r="C283" s="12" t="s">
        <v>161</v>
      </c>
      <c r="D283" s="13" t="s">
        <v>768</v>
      </c>
      <c r="E283" s="14" t="str">
        <f>HYPERLINK("https://twitter.com/SLIPIreland/status/1036567521611198466","1036567521611198466")</f>
        <v>1036567521611198466</v>
      </c>
      <c r="F283" s="15"/>
      <c r="G283" s="16" t="s">
        <v>769</v>
      </c>
      <c r="H283" s="15"/>
      <c r="I283" s="17">
        <v>1</v>
      </c>
      <c r="J283" s="17">
        <v>1</v>
      </c>
      <c r="K283" s="18" t="str">
        <f>HYPERLINK("http://twitter.com/download/android","Twitter for Android")</f>
        <v>Twitter for Android</v>
      </c>
      <c r="L283" s="17">
        <v>943</v>
      </c>
      <c r="M283" s="17">
        <v>581</v>
      </c>
      <c r="N283" s="17">
        <v>43</v>
      </c>
      <c r="O283" s="19"/>
      <c r="P283" s="10">
        <v>42067.319490740745</v>
      </c>
      <c r="Q283" s="20" t="s">
        <v>164</v>
      </c>
      <c r="R283" s="21" t="s">
        <v>165</v>
      </c>
      <c r="S283" s="16" t="s">
        <v>166</v>
      </c>
      <c r="T283" s="15"/>
      <c r="U283" s="14" t="str">
        <f>HYPERLINK("https://pbs.twimg.com/profile_images/611647654574051328/YqIu3i2j.png","View")</f>
        <v>View</v>
      </c>
    </row>
    <row r="284" spans="1:21" ht="50">
      <c r="A284" s="10">
        <v>43346.160277777773</v>
      </c>
      <c r="B284" s="11" t="str">
        <f>HYPERLINK("https://twitter.com/ElisaGravil","@ElisaGravil")</f>
        <v>@ElisaGravil</v>
      </c>
      <c r="C284" s="12" t="s">
        <v>138</v>
      </c>
      <c r="D284" s="13" t="s">
        <v>770</v>
      </c>
      <c r="E284" s="14" t="str">
        <f>HYPERLINK("https://twitter.com/ElisaGravil/status/1036567176864571394","1036567176864571394")</f>
        <v>1036567176864571394</v>
      </c>
      <c r="F284" s="15"/>
      <c r="G284" s="16" t="s">
        <v>771</v>
      </c>
      <c r="H284" s="15"/>
      <c r="I284" s="17">
        <v>2</v>
      </c>
      <c r="J284" s="17">
        <v>1</v>
      </c>
      <c r="K284" s="18" t="str">
        <f>HYPERLINK("http://twitter.com/download/iphone","Twitter for iPhone")</f>
        <v>Twitter for iPhone</v>
      </c>
      <c r="L284" s="17">
        <v>704</v>
      </c>
      <c r="M284" s="17">
        <v>1378</v>
      </c>
      <c r="N284" s="17">
        <v>18</v>
      </c>
      <c r="O284" s="19"/>
      <c r="P284" s="10">
        <v>40164.047962962963</v>
      </c>
      <c r="Q284" s="20" t="s">
        <v>141</v>
      </c>
      <c r="R284" s="21" t="s">
        <v>142</v>
      </c>
      <c r="S284" s="16" t="s">
        <v>143</v>
      </c>
      <c r="T284" s="15"/>
      <c r="U284" s="14" t="str">
        <f>HYPERLINK("https://pbs.twimg.com/profile_images/943772601150820353/-K75sKA9.jpg","View")</f>
        <v>View</v>
      </c>
    </row>
    <row r="285" spans="1:21" ht="30">
      <c r="A285" s="10">
        <v>43346.157025462962</v>
      </c>
      <c r="B285" s="11" t="str">
        <f>HYPERLINK("https://twitter.com/ahurst246","@ahurst246")</f>
        <v>@ahurst246</v>
      </c>
      <c r="C285" s="12" t="s">
        <v>772</v>
      </c>
      <c r="D285" s="13" t="s">
        <v>773</v>
      </c>
      <c r="E285" s="14" t="str">
        <f>HYPERLINK("https://twitter.com/ahurst246/status/1036565999380844544","1036565999380844544")</f>
        <v>1036565999380844544</v>
      </c>
      <c r="F285" s="15"/>
      <c r="G285" s="16" t="s">
        <v>774</v>
      </c>
      <c r="H285" s="15"/>
      <c r="I285" s="17">
        <v>0</v>
      </c>
      <c r="J285" s="17">
        <v>0</v>
      </c>
      <c r="K285" s="18" t="str">
        <f>HYPERLINK("http://twitter.com/download/android","Twitter for Android")</f>
        <v>Twitter for Android</v>
      </c>
      <c r="L285" s="17">
        <v>75</v>
      </c>
      <c r="M285" s="17">
        <v>230</v>
      </c>
      <c r="N285" s="17">
        <v>2</v>
      </c>
      <c r="O285" s="19"/>
      <c r="P285" s="10">
        <v>41065.580520833333</v>
      </c>
      <c r="Q285" s="15"/>
      <c r="R285" s="21" t="s">
        <v>775</v>
      </c>
      <c r="S285" s="15"/>
      <c r="T285" s="15"/>
      <c r="U285" s="14" t="str">
        <f>HYPERLINK("https://pbs.twimg.com/profile_images/837433289665359872/Fry4al23.jpg","View")</f>
        <v>View</v>
      </c>
    </row>
    <row r="286" spans="1:21" ht="40">
      <c r="A286" s="10">
        <v>43346.156111111108</v>
      </c>
      <c r="B286" s="11" t="str">
        <f>HYPERLINK("https://twitter.com/WilliamKilbride","@WilliamKilbride")</f>
        <v>@WilliamKilbride</v>
      </c>
      <c r="C286" s="12" t="s">
        <v>49</v>
      </c>
      <c r="D286" s="13" t="s">
        <v>776</v>
      </c>
      <c r="E286" s="14" t="str">
        <f>HYPERLINK("https://twitter.com/WilliamKilbride/status/1036565669469409285","1036565669469409285")</f>
        <v>1036565669469409285</v>
      </c>
      <c r="F286" s="16" t="s">
        <v>777</v>
      </c>
      <c r="G286" s="15"/>
      <c r="H286" s="15"/>
      <c r="I286" s="17">
        <v>8</v>
      </c>
      <c r="J286" s="17">
        <v>10</v>
      </c>
      <c r="K286" s="18" t="str">
        <f>HYPERLINK("https://about.twitter.com/products/tweetdeck","TweetDeck")</f>
        <v>TweetDeck</v>
      </c>
      <c r="L286" s="17">
        <v>3065</v>
      </c>
      <c r="M286" s="17">
        <v>582</v>
      </c>
      <c r="N286" s="17">
        <v>180</v>
      </c>
      <c r="O286" s="19"/>
      <c r="P286" s="10">
        <v>39917.310949074075</v>
      </c>
      <c r="Q286" s="20" t="s">
        <v>51</v>
      </c>
      <c r="R286" s="21" t="s">
        <v>52</v>
      </c>
      <c r="S286" s="16" t="s">
        <v>53</v>
      </c>
      <c r="T286" s="15"/>
      <c r="U286" s="14" t="str">
        <f>HYPERLINK("https://pbs.twimg.com/profile_images/606802634499080192/ZWLKLGdh.png","View")</f>
        <v>View</v>
      </c>
    </row>
    <row r="287" spans="1:21" ht="30">
      <c r="A287" s="10">
        <v>43346.154108796298</v>
      </c>
      <c r="B287" s="11" t="str">
        <f>HYPERLINK("https://twitter.com/SLIPIreland","@SLIPIreland")</f>
        <v>@SLIPIreland</v>
      </c>
      <c r="C287" s="12" t="s">
        <v>161</v>
      </c>
      <c r="D287" s="13" t="s">
        <v>778</v>
      </c>
      <c r="E287" s="14" t="str">
        <f>HYPERLINK("https://twitter.com/SLIPIreland/status/1036564940914679809","1036564940914679809")</f>
        <v>1036564940914679809</v>
      </c>
      <c r="F287" s="15"/>
      <c r="G287" s="16" t="s">
        <v>779</v>
      </c>
      <c r="H287" s="15"/>
      <c r="I287" s="17">
        <v>2</v>
      </c>
      <c r="J287" s="17">
        <v>2</v>
      </c>
      <c r="K287" s="18" t="str">
        <f>HYPERLINK("http://twitter.com/download/android","Twitter for Android")</f>
        <v>Twitter for Android</v>
      </c>
      <c r="L287" s="17">
        <v>943</v>
      </c>
      <c r="M287" s="17">
        <v>581</v>
      </c>
      <c r="N287" s="17">
        <v>43</v>
      </c>
      <c r="O287" s="19"/>
      <c r="P287" s="10">
        <v>42067.319490740745</v>
      </c>
      <c r="Q287" s="20" t="s">
        <v>164</v>
      </c>
      <c r="R287" s="21" t="s">
        <v>165</v>
      </c>
      <c r="S287" s="16" t="s">
        <v>166</v>
      </c>
      <c r="T287" s="15"/>
      <c r="U287" s="14" t="str">
        <f>HYPERLINK("https://pbs.twimg.com/profile_images/611647654574051328/YqIu3i2j.png","View")</f>
        <v>View</v>
      </c>
    </row>
    <row r="288" spans="1:21" ht="40">
      <c r="A288" s="10">
        <v>43346.152881944443</v>
      </c>
      <c r="B288" s="11" t="str">
        <f>HYPERLINK("https://twitter.com/natalieharrower","@natalieharrower")</f>
        <v>@natalieharrower</v>
      </c>
      <c r="C288" s="12" t="s">
        <v>59</v>
      </c>
      <c r="D288" s="13" t="s">
        <v>780</v>
      </c>
      <c r="E288" s="14" t="str">
        <f>HYPERLINK("https://twitter.com/natalieharrower/status/1036564496393953281","1036564496393953281")</f>
        <v>1036564496393953281</v>
      </c>
      <c r="F288" s="15"/>
      <c r="G288" s="16" t="s">
        <v>781</v>
      </c>
      <c r="H288" s="15"/>
      <c r="I288" s="17">
        <v>1</v>
      </c>
      <c r="J288" s="17">
        <v>3</v>
      </c>
      <c r="K288" s="18" t="str">
        <f t="shared" ref="K288:K289" si="72">HYPERLINK("http://twitter.com/download/iphone","Twitter for iPhone")</f>
        <v>Twitter for iPhone</v>
      </c>
      <c r="L288" s="17">
        <v>2422</v>
      </c>
      <c r="M288" s="17">
        <v>2344</v>
      </c>
      <c r="N288" s="17">
        <v>164</v>
      </c>
      <c r="O288" s="19"/>
      <c r="P288" s="10">
        <v>39751.545844907407</v>
      </c>
      <c r="Q288" s="20" t="s">
        <v>61</v>
      </c>
      <c r="R288" s="21" t="s">
        <v>62</v>
      </c>
      <c r="S288" s="16" t="s">
        <v>63</v>
      </c>
      <c r="T288" s="15"/>
      <c r="U288" s="14" t="str">
        <f>HYPERLINK("https://pbs.twimg.com/profile_images/992918977172000769/pPUq69N4.jpg","View")</f>
        <v>View</v>
      </c>
    </row>
    <row r="289" spans="1:21" ht="40">
      <c r="A289" s="10">
        <v>43346.152731481481</v>
      </c>
      <c r="B289" s="11" t="str">
        <f>HYPERLINK("https://twitter.com/AVCulturalForum","@AVCulturalForum")</f>
        <v>@AVCulturalForum</v>
      </c>
      <c r="C289" s="12" t="s">
        <v>702</v>
      </c>
      <c r="D289" s="13" t="s">
        <v>782</v>
      </c>
      <c r="E289" s="14" t="str">
        <f>HYPERLINK("https://twitter.com/AVCulturalForum/status/1036564445374423041","1036564445374423041")</f>
        <v>1036564445374423041</v>
      </c>
      <c r="F289" s="15"/>
      <c r="G289" s="16" t="s">
        <v>783</v>
      </c>
      <c r="H289" s="15"/>
      <c r="I289" s="17">
        <v>3</v>
      </c>
      <c r="J289" s="17">
        <v>2</v>
      </c>
      <c r="K289" s="18" t="str">
        <f t="shared" si="72"/>
        <v>Twitter for iPhone</v>
      </c>
      <c r="L289" s="17">
        <v>534</v>
      </c>
      <c r="M289" s="17">
        <v>250</v>
      </c>
      <c r="N289" s="17">
        <v>15</v>
      </c>
      <c r="O289" s="19"/>
      <c r="P289" s="10">
        <v>41919.224641203706</v>
      </c>
      <c r="Q289" s="20" t="s">
        <v>56</v>
      </c>
      <c r="R289" s="21" t="s">
        <v>705</v>
      </c>
      <c r="S289" s="16" t="s">
        <v>706</v>
      </c>
      <c r="T289" s="15"/>
      <c r="U289" s="14" t="str">
        <f>HYPERLINK("https://pbs.twimg.com/profile_images/735109491692298240/m_SABHyk.jpg","View")</f>
        <v>View</v>
      </c>
    </row>
    <row r="290" spans="1:21" ht="30">
      <c r="A290" s="10">
        <v>43346.152118055557</v>
      </c>
      <c r="B290" s="11" t="str">
        <f>HYPERLINK("https://twitter.com/WilliamKilbride","@WilliamKilbride")</f>
        <v>@WilliamKilbride</v>
      </c>
      <c r="C290" s="12" t="s">
        <v>49</v>
      </c>
      <c r="D290" s="13" t="s">
        <v>784</v>
      </c>
      <c r="E290" s="14" t="str">
        <f>HYPERLINK("https://twitter.com/WilliamKilbride/status/1036564222606548993","1036564222606548993")</f>
        <v>1036564222606548993</v>
      </c>
      <c r="F290" s="16" t="s">
        <v>785</v>
      </c>
      <c r="G290" s="15"/>
      <c r="H290" s="15"/>
      <c r="I290" s="17">
        <v>5</v>
      </c>
      <c r="J290" s="17">
        <v>7</v>
      </c>
      <c r="K290" s="18" t="str">
        <f>HYPERLINK("https://about.twitter.com/products/tweetdeck","TweetDeck")</f>
        <v>TweetDeck</v>
      </c>
      <c r="L290" s="17">
        <v>3065</v>
      </c>
      <c r="M290" s="17">
        <v>582</v>
      </c>
      <c r="N290" s="17">
        <v>180</v>
      </c>
      <c r="O290" s="19"/>
      <c r="P290" s="10">
        <v>39917.310949074075</v>
      </c>
      <c r="Q290" s="20" t="s">
        <v>51</v>
      </c>
      <c r="R290" s="21" t="s">
        <v>52</v>
      </c>
      <c r="S290" s="16" t="s">
        <v>53</v>
      </c>
      <c r="T290" s="15"/>
      <c r="U290" s="14" t="str">
        <f>HYPERLINK("https://pbs.twimg.com/profile_images/606802634499080192/ZWLKLGdh.png","View")</f>
        <v>View</v>
      </c>
    </row>
    <row r="291" spans="1:21" ht="40">
      <c r="A291" s="10">
        <v>43346.151273148149</v>
      </c>
      <c r="B291" s="11" t="str">
        <f>HYPERLINK("https://twitter.com/HLFLondon","@HLFLondon")</f>
        <v>@HLFLondon</v>
      </c>
      <c r="C291" s="12" t="s">
        <v>54</v>
      </c>
      <c r="D291" s="13" t="s">
        <v>786</v>
      </c>
      <c r="E291" s="14" t="str">
        <f>HYPERLINK("https://twitter.com/HLFLondon/status/1036563913549205504","1036563913549205504")</f>
        <v>1036563913549205504</v>
      </c>
      <c r="F291" s="15"/>
      <c r="G291" s="15"/>
      <c r="H291" s="15"/>
      <c r="I291" s="17">
        <v>1</v>
      </c>
      <c r="J291" s="17">
        <v>1</v>
      </c>
      <c r="K291" s="18" t="str">
        <f>HYPERLINK("http://twitter.com/download/iphone","Twitter for iPhone")</f>
        <v>Twitter for iPhone</v>
      </c>
      <c r="L291" s="17">
        <v>3962</v>
      </c>
      <c r="M291" s="17">
        <v>1516</v>
      </c>
      <c r="N291" s="17">
        <v>74</v>
      </c>
      <c r="O291" s="19"/>
      <c r="P291" s="10">
        <v>41442.105706018519</v>
      </c>
      <c r="Q291" s="20" t="s">
        <v>56</v>
      </c>
      <c r="R291" s="21" t="s">
        <v>57</v>
      </c>
      <c r="S291" s="16" t="s">
        <v>58</v>
      </c>
      <c r="T291" s="15"/>
      <c r="U291" s="14" t="str">
        <f>HYPERLINK("https://pbs.twimg.com/profile_images/694839380582764544/6N71IZbb.jpg","View")</f>
        <v>View</v>
      </c>
    </row>
    <row r="292" spans="1:21" ht="40">
      <c r="A292" s="10">
        <v>43346.150821759264</v>
      </c>
      <c r="B292" s="11" t="str">
        <f>HYPERLINK("https://twitter.com/ElleFayeClarke","@ElleFayeClarke")</f>
        <v>@ElleFayeClarke</v>
      </c>
      <c r="C292" s="12" t="s">
        <v>787</v>
      </c>
      <c r="D292" s="13" t="s">
        <v>788</v>
      </c>
      <c r="E292" s="14" t="str">
        <f>HYPERLINK("https://twitter.com/ElleFayeClarke/status/1036563751858851840","1036563751858851840")</f>
        <v>1036563751858851840</v>
      </c>
      <c r="F292" s="15"/>
      <c r="G292" s="15"/>
      <c r="H292" s="15"/>
      <c r="I292" s="17">
        <v>3</v>
      </c>
      <c r="J292" s="17">
        <v>3</v>
      </c>
      <c r="K292" s="18" t="str">
        <f>HYPERLINK("http://twitter.com/download/android","Twitter for Android")</f>
        <v>Twitter for Android</v>
      </c>
      <c r="L292" s="17">
        <v>19</v>
      </c>
      <c r="M292" s="17">
        <v>77</v>
      </c>
      <c r="N292" s="17">
        <v>0</v>
      </c>
      <c r="O292" s="19"/>
      <c r="P292" s="10">
        <v>42965.272569444445</v>
      </c>
      <c r="Q292" s="20" t="s">
        <v>789</v>
      </c>
      <c r="R292" s="21" t="s">
        <v>790</v>
      </c>
      <c r="S292" s="15"/>
      <c r="T292" s="15"/>
      <c r="U292" s="14" t="str">
        <f>HYPERLINK("https://pbs.twimg.com/profile_images/955748822579335168/p7ti-nX7.jpg","View")</f>
        <v>View</v>
      </c>
    </row>
    <row r="293" spans="1:21" ht="40">
      <c r="A293" s="10">
        <v>43346.150659722218</v>
      </c>
      <c r="B293" s="11" t="str">
        <f>HYPERLINK("https://twitter.com/paulakeogh","@paulakeogh")</f>
        <v>@paulakeogh</v>
      </c>
      <c r="C293" s="12" t="s">
        <v>658</v>
      </c>
      <c r="D293" s="13" t="s">
        <v>791</v>
      </c>
      <c r="E293" s="14" t="str">
        <f>HYPERLINK("https://twitter.com/paulakeogh/status/1036563694157742080","1036563694157742080")</f>
        <v>1036563694157742080</v>
      </c>
      <c r="F293" s="15"/>
      <c r="G293" s="15"/>
      <c r="H293" s="15"/>
      <c r="I293" s="17">
        <v>1</v>
      </c>
      <c r="J293" s="17">
        <v>3</v>
      </c>
      <c r="K293" s="18" t="str">
        <f>HYPERLINK("http://twitter.com/#!/download/ipad","Twitter for iPad")</f>
        <v>Twitter for iPad</v>
      </c>
      <c r="L293" s="17">
        <v>404</v>
      </c>
      <c r="M293" s="17">
        <v>557</v>
      </c>
      <c r="N293" s="17">
        <v>32</v>
      </c>
      <c r="O293" s="19"/>
      <c r="P293" s="10">
        <v>39854.575243055559</v>
      </c>
      <c r="Q293" s="20" t="s">
        <v>661</v>
      </c>
      <c r="R293" s="21" t="s">
        <v>662</v>
      </c>
      <c r="S293" s="16" t="s">
        <v>663</v>
      </c>
      <c r="T293" s="15"/>
      <c r="U293" s="14" t="str">
        <f>HYPERLINK("https://pbs.twimg.com/profile_images/932908395237183488/ZK6vDync.jpg","View")</f>
        <v>View</v>
      </c>
    </row>
    <row r="294" spans="1:21" ht="40">
      <c r="A294" s="10">
        <v>43346.150601851856</v>
      </c>
      <c r="B294" s="11" t="str">
        <f>HYPERLINK("https://twitter.com/natalieharrower","@natalieharrower")</f>
        <v>@natalieharrower</v>
      </c>
      <c r="C294" s="12" t="s">
        <v>59</v>
      </c>
      <c r="D294" s="13" t="s">
        <v>792</v>
      </c>
      <c r="E294" s="14" t="str">
        <f>HYPERLINK("https://twitter.com/natalieharrower/status/1036563670984282113","1036563670984282113")</f>
        <v>1036563670984282113</v>
      </c>
      <c r="F294" s="15"/>
      <c r="G294" s="15"/>
      <c r="H294" s="15"/>
      <c r="I294" s="17">
        <v>3</v>
      </c>
      <c r="J294" s="17">
        <v>2</v>
      </c>
      <c r="K294" s="18" t="str">
        <f>HYPERLINK("http://twitter.com","Twitter Web Client")</f>
        <v>Twitter Web Client</v>
      </c>
      <c r="L294" s="17">
        <v>2422</v>
      </c>
      <c r="M294" s="17">
        <v>2344</v>
      </c>
      <c r="N294" s="17">
        <v>164</v>
      </c>
      <c r="O294" s="19"/>
      <c r="P294" s="10">
        <v>39751.545844907407</v>
      </c>
      <c r="Q294" s="20" t="s">
        <v>61</v>
      </c>
      <c r="R294" s="21" t="s">
        <v>62</v>
      </c>
      <c r="S294" s="16" t="s">
        <v>63</v>
      </c>
      <c r="T294" s="15"/>
      <c r="U294" s="14" t="str">
        <f>HYPERLINK("https://pbs.twimg.com/profile_images/992918977172000769/pPUq69N4.jpg","View")</f>
        <v>View</v>
      </c>
    </row>
    <row r="295" spans="1:21" ht="30">
      <c r="A295" s="10">
        <v>43346.150416666671</v>
      </c>
      <c r="B295" s="11" t="str">
        <f>HYPERLINK("https://twitter.com/Sarah_DPC","@Sarah_DPC")</f>
        <v>@Sarah_DPC</v>
      </c>
      <c r="C295" s="12" t="s">
        <v>178</v>
      </c>
      <c r="D295" s="13" t="s">
        <v>793</v>
      </c>
      <c r="E295" s="14" t="str">
        <f>HYPERLINK("https://twitter.com/Sarah_DPC/status/1036563603741192192","1036563603741192192")</f>
        <v>1036563603741192192</v>
      </c>
      <c r="F295" s="15"/>
      <c r="G295" s="15"/>
      <c r="H295" s="15"/>
      <c r="I295" s="17">
        <v>1</v>
      </c>
      <c r="J295" s="17">
        <v>0</v>
      </c>
      <c r="K295" s="18" t="str">
        <f>HYPERLINK("http://twitter.com/download/android","Twitter for Android")</f>
        <v>Twitter for Android</v>
      </c>
      <c r="L295" s="17">
        <v>1270</v>
      </c>
      <c r="M295" s="17">
        <v>715</v>
      </c>
      <c r="N295" s="17">
        <v>51</v>
      </c>
      <c r="O295" s="19"/>
      <c r="P295" s="10">
        <v>41373.188576388886</v>
      </c>
      <c r="Q295" s="20" t="s">
        <v>180</v>
      </c>
      <c r="R295" s="21" t="s">
        <v>181</v>
      </c>
      <c r="S295" s="16" t="s">
        <v>182</v>
      </c>
      <c r="T295" s="15"/>
      <c r="U295" s="14" t="str">
        <f>HYPERLINK("https://pbs.twimg.com/profile_images/867263862726434816/K2qoO6sD.jpg","View")</f>
        <v>View</v>
      </c>
    </row>
    <row r="296" spans="1:21" ht="40">
      <c r="A296" s="10">
        <v>43346.150381944448</v>
      </c>
      <c r="B296" s="11" t="str">
        <f>HYPERLINK("https://twitter.com/steph_fuller","@steph_fuller")</f>
        <v>@steph_fuller</v>
      </c>
      <c r="C296" s="12" t="s">
        <v>552</v>
      </c>
      <c r="D296" s="13" t="s">
        <v>794</v>
      </c>
      <c r="E296" s="14" t="str">
        <f>HYPERLINK("https://twitter.com/steph_fuller/status/1036563591346970625","1036563591346970625")</f>
        <v>1036563591346970625</v>
      </c>
      <c r="F296" s="15"/>
      <c r="G296" s="15"/>
      <c r="H296" s="15"/>
      <c r="I296" s="17">
        <v>4</v>
      </c>
      <c r="J296" s="17">
        <v>5</v>
      </c>
      <c r="K296" s="18" t="str">
        <f>HYPERLINK("http://twitter.com/#!/download/ipad","Twitter for iPad")</f>
        <v>Twitter for iPad</v>
      </c>
      <c r="L296" s="17">
        <v>1922</v>
      </c>
      <c r="M296" s="17">
        <v>1876</v>
      </c>
      <c r="N296" s="17">
        <v>81</v>
      </c>
      <c r="O296" s="19"/>
      <c r="P296" s="10">
        <v>40510.466377314813</v>
      </c>
      <c r="Q296" s="20" t="s">
        <v>554</v>
      </c>
      <c r="R296" s="21" t="s">
        <v>555</v>
      </c>
      <c r="S296" s="15"/>
      <c r="T296" s="15"/>
      <c r="U296" s="14" t="str">
        <f>HYPERLINK("https://pbs.twimg.com/profile_images/609068622011621376/HqYsjVOU.jpg","View")</f>
        <v>View</v>
      </c>
    </row>
    <row r="297" spans="1:21" ht="40">
      <c r="A297" s="10">
        <v>43346.148981481485</v>
      </c>
      <c r="B297" s="11" t="str">
        <f>HYPERLINK("https://twitter.com/MariaEcoGl","@MariaEcoGl")</f>
        <v>@MariaEcoGl</v>
      </c>
      <c r="C297" s="12" t="s">
        <v>304</v>
      </c>
      <c r="D297" s="13" t="s">
        <v>795</v>
      </c>
      <c r="E297" s="14" t="str">
        <f>HYPERLINK("https://twitter.com/MariaEcoGl/status/1036563085585248256","1036563085585248256")</f>
        <v>1036563085585248256</v>
      </c>
      <c r="F297" s="15"/>
      <c r="G297" s="16" t="s">
        <v>796</v>
      </c>
      <c r="H297" s="15"/>
      <c r="I297" s="17">
        <v>2</v>
      </c>
      <c r="J297" s="17">
        <v>3</v>
      </c>
      <c r="K297" s="18" t="str">
        <f>HYPERLINK("http://twitter.com/download/iphone","Twitter for iPhone")</f>
        <v>Twitter for iPhone</v>
      </c>
      <c r="L297" s="17">
        <v>1479</v>
      </c>
      <c r="M297" s="17">
        <v>2085</v>
      </c>
      <c r="N297" s="17">
        <v>43</v>
      </c>
      <c r="O297" s="19"/>
      <c r="P297" s="10">
        <v>41611.245787037034</v>
      </c>
      <c r="Q297" s="20" t="s">
        <v>307</v>
      </c>
      <c r="R297" s="21" t="s">
        <v>308</v>
      </c>
      <c r="S297" s="16" t="s">
        <v>309</v>
      </c>
      <c r="T297" s="15"/>
      <c r="U297" s="14" t="str">
        <f>HYPERLINK("https://pbs.twimg.com/profile_images/600251605141692416/YeaqAIJB.png","View")</f>
        <v>View</v>
      </c>
    </row>
    <row r="298" spans="1:21" ht="20">
      <c r="A298" s="10">
        <v>43346.148912037039</v>
      </c>
      <c r="B298" s="11" t="str">
        <f>HYPERLINK("https://twitter.com/WilliamKilbride","@WilliamKilbride")</f>
        <v>@WilliamKilbride</v>
      </c>
      <c r="C298" s="12" t="s">
        <v>49</v>
      </c>
      <c r="D298" s="13" t="s">
        <v>797</v>
      </c>
      <c r="E298" s="14" t="str">
        <f>HYPERLINK("https://twitter.com/WilliamKilbride/status/1036563058326421505","1036563058326421505")</f>
        <v>1036563058326421505</v>
      </c>
      <c r="F298" s="16" t="s">
        <v>798</v>
      </c>
      <c r="G298" s="15"/>
      <c r="H298" s="15"/>
      <c r="I298" s="17">
        <v>4</v>
      </c>
      <c r="J298" s="17">
        <v>0</v>
      </c>
      <c r="K298" s="18" t="str">
        <f>HYPERLINK("https://about.twitter.com/products/tweetdeck","TweetDeck")</f>
        <v>TweetDeck</v>
      </c>
      <c r="L298" s="17">
        <v>3065</v>
      </c>
      <c r="M298" s="17">
        <v>582</v>
      </c>
      <c r="N298" s="17">
        <v>180</v>
      </c>
      <c r="O298" s="19"/>
      <c r="P298" s="10">
        <v>39917.310949074075</v>
      </c>
      <c r="Q298" s="20" t="s">
        <v>51</v>
      </c>
      <c r="R298" s="21" t="s">
        <v>52</v>
      </c>
      <c r="S298" s="16" t="s">
        <v>53</v>
      </c>
      <c r="T298" s="15"/>
      <c r="U298" s="14" t="str">
        <f>HYPERLINK("https://pbs.twimg.com/profile_images/606802634499080192/ZWLKLGdh.png","View")</f>
        <v>View</v>
      </c>
    </row>
    <row r="299" spans="1:21" ht="50">
      <c r="A299" s="10">
        <v>43346.148888888885</v>
      </c>
      <c r="B299" s="11" t="str">
        <f>HYPERLINK("https://twitter.com/NicolePMeehan","@NicolePMeehan")</f>
        <v>@NicolePMeehan</v>
      </c>
      <c r="C299" s="12" t="s">
        <v>105</v>
      </c>
      <c r="D299" s="13" t="s">
        <v>799</v>
      </c>
      <c r="E299" s="14" t="str">
        <f>HYPERLINK("https://twitter.com/NicolePMeehan/status/1036563050466344960","1036563050466344960")</f>
        <v>1036563050466344960</v>
      </c>
      <c r="F299" s="15"/>
      <c r="G299" s="16" t="s">
        <v>800</v>
      </c>
      <c r="H299" s="15"/>
      <c r="I299" s="17">
        <v>3</v>
      </c>
      <c r="J299" s="17">
        <v>5</v>
      </c>
      <c r="K299" s="18" t="str">
        <f>HYPERLINK("http://twitter.com/download/iphone","Twitter for iPhone")</f>
        <v>Twitter for iPhone</v>
      </c>
      <c r="L299" s="17">
        <v>221</v>
      </c>
      <c r="M299" s="17">
        <v>167</v>
      </c>
      <c r="N299" s="17">
        <v>8</v>
      </c>
      <c r="O299" s="19"/>
      <c r="P299" s="10">
        <v>40180.658402777779</v>
      </c>
      <c r="Q299" s="20" t="s">
        <v>109</v>
      </c>
      <c r="R299" s="21" t="s">
        <v>110</v>
      </c>
      <c r="S299" s="16" t="s">
        <v>111</v>
      </c>
      <c r="T299" s="15"/>
      <c r="U299" s="14" t="str">
        <f>HYPERLINK("https://pbs.twimg.com/profile_images/933068958151868421/CiyZIYTW.jpg","View")</f>
        <v>View</v>
      </c>
    </row>
    <row r="300" spans="1:21" ht="20">
      <c r="A300" s="10">
        <v>43346.147719907407</v>
      </c>
      <c r="B300" s="11" t="str">
        <f>HYPERLINK("https://twitter.com/Sarah_DPC","@Sarah_DPC")</f>
        <v>@Sarah_DPC</v>
      </c>
      <c r="C300" s="12" t="s">
        <v>178</v>
      </c>
      <c r="D300" s="13" t="s">
        <v>801</v>
      </c>
      <c r="E300" s="14" t="str">
        <f>HYPERLINK("https://twitter.com/Sarah_DPC/status/1036562627844087809","1036562627844087809")</f>
        <v>1036562627844087809</v>
      </c>
      <c r="F300" s="15"/>
      <c r="G300" s="15"/>
      <c r="H300" s="15"/>
      <c r="I300" s="17">
        <v>1</v>
      </c>
      <c r="J300" s="17">
        <v>0</v>
      </c>
      <c r="K300" s="18" t="str">
        <f t="shared" ref="K300:K301" si="73">HYPERLINK("http://twitter.com/download/android","Twitter for Android")</f>
        <v>Twitter for Android</v>
      </c>
      <c r="L300" s="17">
        <v>1270</v>
      </c>
      <c r="M300" s="17">
        <v>715</v>
      </c>
      <c r="N300" s="17">
        <v>51</v>
      </c>
      <c r="O300" s="19"/>
      <c r="P300" s="10">
        <v>41373.188576388886</v>
      </c>
      <c r="Q300" s="20" t="s">
        <v>180</v>
      </c>
      <c r="R300" s="21" t="s">
        <v>181</v>
      </c>
      <c r="S300" s="16" t="s">
        <v>182</v>
      </c>
      <c r="T300" s="15"/>
      <c r="U300" s="14" t="str">
        <f>HYPERLINK("https://pbs.twimg.com/profile_images/867263862726434816/K2qoO6sD.jpg","View")</f>
        <v>View</v>
      </c>
    </row>
    <row r="301" spans="1:21" ht="30">
      <c r="A301" s="10">
        <v>43346.147627314815</v>
      </c>
      <c r="B301" s="11" t="str">
        <f>HYPERLINK("https://twitter.com/amkelleher1","@amkelleher1")</f>
        <v>@amkelleher1</v>
      </c>
      <c r="C301" s="12" t="s">
        <v>243</v>
      </c>
      <c r="D301" s="13" t="s">
        <v>802</v>
      </c>
      <c r="E301" s="14" t="str">
        <f>HYPERLINK("https://twitter.com/amkelleher1/status/1036562594637770753","1036562594637770753")</f>
        <v>1036562594637770753</v>
      </c>
      <c r="F301" s="15"/>
      <c r="G301" s="16" t="s">
        <v>803</v>
      </c>
      <c r="H301" s="15"/>
      <c r="I301" s="17">
        <v>1</v>
      </c>
      <c r="J301" s="17">
        <v>1</v>
      </c>
      <c r="K301" s="18" t="str">
        <f t="shared" si="73"/>
        <v>Twitter for Android</v>
      </c>
      <c r="L301" s="17">
        <v>537</v>
      </c>
      <c r="M301" s="17">
        <v>784</v>
      </c>
      <c r="N301" s="17">
        <v>24</v>
      </c>
      <c r="O301" s="19"/>
      <c r="P301" s="10">
        <v>40726.868530092594</v>
      </c>
      <c r="Q301" s="20" t="s">
        <v>245</v>
      </c>
      <c r="R301" s="21" t="s">
        <v>246</v>
      </c>
      <c r="S301" s="16" t="s">
        <v>247</v>
      </c>
      <c r="T301" s="15"/>
      <c r="U301" s="14" t="str">
        <f>HYPERLINK("https://pbs.twimg.com/profile_images/829771558935785473/D5xq017x.jpg","View")</f>
        <v>View</v>
      </c>
    </row>
    <row r="302" spans="1:21" ht="30">
      <c r="A302" s="10">
        <v>43346.147546296299</v>
      </c>
      <c r="B302" s="11" t="str">
        <f>HYPERLINK("https://twitter.com/Keith_May","@Keith_May")</f>
        <v>@Keith_May</v>
      </c>
      <c r="C302" s="12" t="s">
        <v>804</v>
      </c>
      <c r="D302" s="13" t="s">
        <v>805</v>
      </c>
      <c r="E302" s="14" t="str">
        <f>HYPERLINK("https://twitter.com/Keith_May/status/1036562563167920128","1036562563167920128")</f>
        <v>1036562563167920128</v>
      </c>
      <c r="F302" s="15"/>
      <c r="G302" s="15"/>
      <c r="H302" s="15"/>
      <c r="I302" s="17">
        <v>1</v>
      </c>
      <c r="J302" s="17">
        <v>2</v>
      </c>
      <c r="K302" s="18" t="str">
        <f>HYPERLINK("http://twitter.com/#!/download/ipad","Twitter for iPad")</f>
        <v>Twitter for iPad</v>
      </c>
      <c r="L302" s="17">
        <v>272</v>
      </c>
      <c r="M302" s="17">
        <v>114</v>
      </c>
      <c r="N302" s="17">
        <v>21</v>
      </c>
      <c r="O302" s="19"/>
      <c r="P302" s="10">
        <v>40242.273020833338</v>
      </c>
      <c r="Q302" s="15"/>
      <c r="R302" s="21" t="s">
        <v>806</v>
      </c>
      <c r="S302" s="15"/>
      <c r="T302" s="15"/>
      <c r="U302" s="14" t="str">
        <f>HYPERLINK("https://pbs.twimg.com/profile_images/880846718719463424/pTeAaMra.jpg","View")</f>
        <v>View</v>
      </c>
    </row>
    <row r="303" spans="1:21" ht="50">
      <c r="A303" s="10">
        <v>43346.147488425922</v>
      </c>
      <c r="B303" s="11" t="str">
        <f>HYPERLINK("https://twitter.com/GeorgiaMallin","@GeorgiaMallin")</f>
        <v>@GeorgiaMallin</v>
      </c>
      <c r="C303" s="12" t="s">
        <v>126</v>
      </c>
      <c r="D303" s="13" t="s">
        <v>807</v>
      </c>
      <c r="E303" s="14" t="str">
        <f>HYPERLINK("https://twitter.com/GeorgiaMallin/status/1036562543895035904","1036562543895035904")</f>
        <v>1036562543895035904</v>
      </c>
      <c r="F303" s="20" t="s">
        <v>808</v>
      </c>
      <c r="G303" s="16" t="s">
        <v>809</v>
      </c>
      <c r="H303" s="15"/>
      <c r="I303" s="17">
        <v>18</v>
      </c>
      <c r="J303" s="17">
        <v>22</v>
      </c>
      <c r="K303" s="18" t="str">
        <f t="shared" ref="K303:K304" si="74">HYPERLINK("http://twitter.com/download/android","Twitter for Android")</f>
        <v>Twitter for Android</v>
      </c>
      <c r="L303" s="17">
        <v>528</v>
      </c>
      <c r="M303" s="17">
        <v>1025</v>
      </c>
      <c r="N303" s="17">
        <v>11</v>
      </c>
      <c r="O303" s="19"/>
      <c r="P303" s="10">
        <v>40905.701087962967</v>
      </c>
      <c r="Q303" s="20" t="s">
        <v>41</v>
      </c>
      <c r="R303" s="21" t="s">
        <v>128</v>
      </c>
      <c r="S303" s="15"/>
      <c r="T303" s="15"/>
      <c r="U303" s="14" t="str">
        <f>HYPERLINK("https://pbs.twimg.com/profile_images/874631103193206784/akQp_6iv.jpg","View")</f>
        <v>View</v>
      </c>
    </row>
    <row r="304" spans="1:21" ht="80">
      <c r="A304" s="10">
        <v>43346.14743055556</v>
      </c>
      <c r="B304" s="11" t="str">
        <f>HYPERLINK("https://twitter.com/jdk653","@jdk653")</f>
        <v>@jdk653</v>
      </c>
      <c r="C304" s="12" t="s">
        <v>358</v>
      </c>
      <c r="D304" s="13" t="s">
        <v>810</v>
      </c>
      <c r="E304" s="14" t="str">
        <f>HYPERLINK("https://twitter.com/jdk653/status/1036562522898419713","1036562522898419713")</f>
        <v>1036562522898419713</v>
      </c>
      <c r="F304" s="16" t="s">
        <v>811</v>
      </c>
      <c r="G304" s="15"/>
      <c r="H304" s="15"/>
      <c r="I304" s="17">
        <v>6</v>
      </c>
      <c r="J304" s="17">
        <v>26</v>
      </c>
      <c r="K304" s="18" t="str">
        <f t="shared" si="74"/>
        <v>Twitter for Android</v>
      </c>
      <c r="L304" s="17">
        <v>1408</v>
      </c>
      <c r="M304" s="17">
        <v>555</v>
      </c>
      <c r="N304" s="17">
        <v>51</v>
      </c>
      <c r="O304" s="19"/>
      <c r="P304" s="10">
        <v>40039.645243055558</v>
      </c>
      <c r="Q304" s="20" t="s">
        <v>360</v>
      </c>
      <c r="R304" s="21" t="s">
        <v>361</v>
      </c>
      <c r="S304" s="15"/>
      <c r="T304" s="15"/>
      <c r="U304" s="14" t="str">
        <f>HYPERLINK("https://pbs.twimg.com/profile_images/459055826607415296/7xy78FeW.jpeg","View")</f>
        <v>View</v>
      </c>
    </row>
    <row r="305" spans="1:21" ht="40">
      <c r="A305" s="10">
        <v>43346.146793981483</v>
      </c>
      <c r="B305" s="11" t="str">
        <f>HYPERLINK("https://twitter.com/ellie__miles","@ellie__miles")</f>
        <v>@ellie__miles</v>
      </c>
      <c r="C305" s="12" t="s">
        <v>227</v>
      </c>
      <c r="D305" s="13" t="s">
        <v>812</v>
      </c>
      <c r="E305" s="14" t="str">
        <f>HYPERLINK("https://twitter.com/ellie__miles/status/1036562292572389376","1036562292572389376")</f>
        <v>1036562292572389376</v>
      </c>
      <c r="F305" s="15"/>
      <c r="G305" s="15"/>
      <c r="H305" s="15"/>
      <c r="I305" s="17">
        <v>17</v>
      </c>
      <c r="J305" s="17">
        <v>46</v>
      </c>
      <c r="K305" s="18" t="str">
        <f>HYPERLINK("https://mobile.twitter.com","Twitter Lite")</f>
        <v>Twitter Lite</v>
      </c>
      <c r="L305" s="17">
        <v>1051</v>
      </c>
      <c r="M305" s="17">
        <v>645</v>
      </c>
      <c r="N305" s="17">
        <v>29</v>
      </c>
      <c r="O305" s="19"/>
      <c r="P305" s="10">
        <v>41065.331909722227</v>
      </c>
      <c r="Q305" s="20" t="s">
        <v>56</v>
      </c>
      <c r="R305" s="21" t="s">
        <v>229</v>
      </c>
      <c r="S305" s="16" t="s">
        <v>230</v>
      </c>
      <c r="T305" s="15"/>
      <c r="U305" s="14" t="str">
        <f>HYPERLINK("https://pbs.twimg.com/profile_images/1017465512325009408/sUSUo4fg.jpg","View")</f>
        <v>View</v>
      </c>
    </row>
    <row r="306" spans="1:21" ht="30">
      <c r="A306" s="10">
        <v>43346.146377314813</v>
      </c>
      <c r="B306" s="11" t="str">
        <f>HYPERLINK("https://twitter.com/MurielBailly","@MurielBailly")</f>
        <v>@MurielBailly</v>
      </c>
      <c r="C306" s="12" t="s">
        <v>813</v>
      </c>
      <c r="D306" s="13" t="s">
        <v>814</v>
      </c>
      <c r="E306" s="14" t="str">
        <f>HYPERLINK("https://twitter.com/MurielBailly/status/1036562142193954816","1036562142193954816")</f>
        <v>1036562142193954816</v>
      </c>
      <c r="F306" s="15"/>
      <c r="G306" s="15"/>
      <c r="H306" s="15"/>
      <c r="I306" s="17">
        <v>5</v>
      </c>
      <c r="J306" s="17">
        <v>10</v>
      </c>
      <c r="K306" s="18" t="str">
        <f t="shared" ref="K306:K307" si="75">HYPERLINK("http://twitter.com/download/android","Twitter for Android")</f>
        <v>Twitter for Android</v>
      </c>
      <c r="L306" s="17">
        <v>360</v>
      </c>
      <c r="M306" s="17">
        <v>639</v>
      </c>
      <c r="N306" s="17">
        <v>10</v>
      </c>
      <c r="O306" s="19"/>
      <c r="P306" s="10">
        <v>40698.524895833332</v>
      </c>
      <c r="Q306" s="20" t="s">
        <v>56</v>
      </c>
      <c r="R306" s="21" t="s">
        <v>815</v>
      </c>
      <c r="S306" s="15"/>
      <c r="T306" s="15"/>
      <c r="U306" s="14" t="str">
        <f>HYPERLINK("https://pbs.twimg.com/profile_images/701869870460313600/hLul3bFR.jpg","View")</f>
        <v>View</v>
      </c>
    </row>
    <row r="307" spans="1:21" ht="30">
      <c r="A307" s="10">
        <v>43346.146250000005</v>
      </c>
      <c r="B307" s="11" t="str">
        <f>HYPERLINK("https://twitter.com/Sarah_DPC","@Sarah_DPC")</f>
        <v>@Sarah_DPC</v>
      </c>
      <c r="C307" s="12" t="s">
        <v>178</v>
      </c>
      <c r="D307" s="13" t="s">
        <v>816</v>
      </c>
      <c r="E307" s="14" t="str">
        <f>HYPERLINK("https://twitter.com/Sarah_DPC/status/1036562095226204161","1036562095226204161")</f>
        <v>1036562095226204161</v>
      </c>
      <c r="F307" s="15"/>
      <c r="G307" s="15"/>
      <c r="H307" s="15"/>
      <c r="I307" s="17">
        <v>2</v>
      </c>
      <c r="J307" s="17">
        <v>2</v>
      </c>
      <c r="K307" s="18" t="str">
        <f t="shared" si="75"/>
        <v>Twitter for Android</v>
      </c>
      <c r="L307" s="17">
        <v>1270</v>
      </c>
      <c r="M307" s="17">
        <v>715</v>
      </c>
      <c r="N307" s="17">
        <v>51</v>
      </c>
      <c r="O307" s="19"/>
      <c r="P307" s="10">
        <v>41373.188576388886</v>
      </c>
      <c r="Q307" s="20" t="s">
        <v>180</v>
      </c>
      <c r="R307" s="21" t="s">
        <v>181</v>
      </c>
      <c r="S307" s="16" t="s">
        <v>182</v>
      </c>
      <c r="T307" s="15"/>
      <c r="U307" s="14" t="str">
        <f>HYPERLINK("https://pbs.twimg.com/profile_images/867263862726434816/K2qoO6sD.jpg","View")</f>
        <v>View</v>
      </c>
    </row>
    <row r="308" spans="1:21" ht="40">
      <c r="A308" s="10">
        <v>43346.14576388889</v>
      </c>
      <c r="B308" s="11" t="str">
        <f>HYPERLINK("https://twitter.com/cewillett1","@cewillett1")</f>
        <v>@cewillett1</v>
      </c>
      <c r="C308" s="12" t="s">
        <v>285</v>
      </c>
      <c r="D308" s="13" t="s">
        <v>817</v>
      </c>
      <c r="E308" s="14" t="str">
        <f>HYPERLINK("https://twitter.com/cewillett1/status/1036561920181108736","1036561920181108736")</f>
        <v>1036561920181108736</v>
      </c>
      <c r="F308" s="15"/>
      <c r="G308" s="16" t="s">
        <v>818</v>
      </c>
      <c r="H308" s="15"/>
      <c r="I308" s="17">
        <v>3</v>
      </c>
      <c r="J308" s="17">
        <v>9</v>
      </c>
      <c r="K308" s="18" t="str">
        <f>HYPERLINK("http://twitter.com/download/iphone","Twitter for iPhone")</f>
        <v>Twitter for iPhone</v>
      </c>
      <c r="L308" s="17">
        <v>164</v>
      </c>
      <c r="M308" s="17">
        <v>232</v>
      </c>
      <c r="N308" s="17">
        <v>8</v>
      </c>
      <c r="O308" s="19"/>
      <c r="P308" s="10">
        <v>41697.407939814817</v>
      </c>
      <c r="Q308" s="20" t="s">
        <v>41</v>
      </c>
      <c r="R308" s="21" t="s">
        <v>288</v>
      </c>
      <c r="S308" s="15"/>
      <c r="T308" s="15"/>
      <c r="U308" s="14" t="str">
        <f>HYPERLINK("https://pbs.twimg.com/profile_images/1002132771991642113/0Y2s1p3O.jpg","View")</f>
        <v>View</v>
      </c>
    </row>
    <row r="309" spans="1:21" ht="30">
      <c r="A309" s="10">
        <v>43346.145520833335</v>
      </c>
      <c r="B309" s="11" t="str">
        <f>HYPERLINK("https://twitter.com/CUHerb","@CUHerb")</f>
        <v>@CUHerb</v>
      </c>
      <c r="C309" s="12" t="s">
        <v>819</v>
      </c>
      <c r="D309" s="13" t="s">
        <v>820</v>
      </c>
      <c r="E309" s="14" t="str">
        <f>HYPERLINK("https://twitter.com/CUHerb/status/1036561830435586048","1036561830435586048")</f>
        <v>1036561830435586048</v>
      </c>
      <c r="F309" s="15"/>
      <c r="G309" s="16" t="s">
        <v>821</v>
      </c>
      <c r="H309" s="15"/>
      <c r="I309" s="17">
        <v>1</v>
      </c>
      <c r="J309" s="17">
        <v>1</v>
      </c>
      <c r="K309" s="18" t="str">
        <f>HYPERLINK("http://twitter.com/#!/download/ipad","Twitter for iPad")</f>
        <v>Twitter for iPad</v>
      </c>
      <c r="L309" s="17">
        <v>1265</v>
      </c>
      <c r="M309" s="17">
        <v>661</v>
      </c>
      <c r="N309" s="17">
        <v>21</v>
      </c>
      <c r="O309" s="19"/>
      <c r="P309" s="10">
        <v>42073.40662037037</v>
      </c>
      <c r="Q309" s="20" t="s">
        <v>822</v>
      </c>
      <c r="R309" s="21" t="s">
        <v>823</v>
      </c>
      <c r="S309" s="16" t="s">
        <v>824</v>
      </c>
      <c r="T309" s="15"/>
      <c r="U309" s="14" t="str">
        <f>HYPERLINK("https://pbs.twimg.com/profile_images/963078504773488640/YaSBrlJG.jpg","View")</f>
        <v>View</v>
      </c>
    </row>
    <row r="310" spans="1:21" ht="40">
      <c r="A310" s="10">
        <v>43346.145300925928</v>
      </c>
      <c r="B310" s="11" t="str">
        <f>HYPERLINK("https://twitter.com/Sarah_DPC","@Sarah_DPC")</f>
        <v>@Sarah_DPC</v>
      </c>
      <c r="C310" s="12" t="s">
        <v>178</v>
      </c>
      <c r="D310" s="13" t="s">
        <v>825</v>
      </c>
      <c r="E310" s="14" t="str">
        <f>HYPERLINK("https://twitter.com/Sarah_DPC/status/1036561751326826496","1036561751326826496")</f>
        <v>1036561751326826496</v>
      </c>
      <c r="F310" s="15"/>
      <c r="G310" s="15"/>
      <c r="H310" s="15"/>
      <c r="I310" s="17">
        <v>3</v>
      </c>
      <c r="J310" s="17">
        <v>2</v>
      </c>
      <c r="K310" s="18" t="str">
        <f t="shared" ref="K310:K311" si="76">HYPERLINK("http://twitter.com/download/android","Twitter for Android")</f>
        <v>Twitter for Android</v>
      </c>
      <c r="L310" s="17">
        <v>1270</v>
      </c>
      <c r="M310" s="17">
        <v>715</v>
      </c>
      <c r="N310" s="17">
        <v>51</v>
      </c>
      <c r="O310" s="19"/>
      <c r="P310" s="10">
        <v>41373.188576388886</v>
      </c>
      <c r="Q310" s="20" t="s">
        <v>180</v>
      </c>
      <c r="R310" s="21" t="s">
        <v>181</v>
      </c>
      <c r="S310" s="16" t="s">
        <v>182</v>
      </c>
      <c r="T310" s="15"/>
      <c r="U310" s="14" t="str">
        <f>HYPERLINK("https://pbs.twimg.com/profile_images/867263862726434816/K2qoO6sD.jpg","View")</f>
        <v>View</v>
      </c>
    </row>
    <row r="311" spans="1:21" ht="30">
      <c r="A311" s="10">
        <v>43346.145254629635</v>
      </c>
      <c r="B311" s="11" t="str">
        <f>HYPERLINK("https://twitter.com/SLIPIreland","@SLIPIreland")</f>
        <v>@SLIPIreland</v>
      </c>
      <c r="C311" s="12" t="s">
        <v>161</v>
      </c>
      <c r="D311" s="13" t="s">
        <v>826</v>
      </c>
      <c r="E311" s="14" t="str">
        <f>HYPERLINK("https://twitter.com/SLIPIreland/status/1036561732897005568","1036561732897005568")</f>
        <v>1036561732897005568</v>
      </c>
      <c r="F311" s="15"/>
      <c r="G311" s="16" t="s">
        <v>827</v>
      </c>
      <c r="H311" s="15"/>
      <c r="I311" s="17">
        <v>1</v>
      </c>
      <c r="J311" s="17">
        <v>7</v>
      </c>
      <c r="K311" s="18" t="str">
        <f t="shared" si="76"/>
        <v>Twitter for Android</v>
      </c>
      <c r="L311" s="17">
        <v>943</v>
      </c>
      <c r="M311" s="17">
        <v>581</v>
      </c>
      <c r="N311" s="17">
        <v>43</v>
      </c>
      <c r="O311" s="19"/>
      <c r="P311" s="10">
        <v>42067.319490740745</v>
      </c>
      <c r="Q311" s="20" t="s">
        <v>164</v>
      </c>
      <c r="R311" s="21" t="s">
        <v>165</v>
      </c>
      <c r="S311" s="16" t="s">
        <v>166</v>
      </c>
      <c r="T311" s="15"/>
      <c r="U311" s="14" t="str">
        <f>HYPERLINK("https://pbs.twimg.com/profile_images/611647654574051328/YqIu3i2j.png","View")</f>
        <v>View</v>
      </c>
    </row>
    <row r="312" spans="1:21" ht="40">
      <c r="A312" s="10">
        <v>43346.144502314812</v>
      </c>
      <c r="B312" s="11" t="str">
        <f>HYPERLINK("https://twitter.com/natalieharrower","@natalieharrower")</f>
        <v>@natalieharrower</v>
      </c>
      <c r="C312" s="12" t="s">
        <v>59</v>
      </c>
      <c r="D312" s="13" t="s">
        <v>828</v>
      </c>
      <c r="E312" s="14" t="str">
        <f>HYPERLINK("https://twitter.com/natalieharrower/status/1036561459650670593","1036561459650670593")</f>
        <v>1036561459650670593</v>
      </c>
      <c r="F312" s="15"/>
      <c r="G312" s="15"/>
      <c r="H312" s="15"/>
      <c r="I312" s="17">
        <v>2</v>
      </c>
      <c r="J312" s="17">
        <v>6</v>
      </c>
      <c r="K312" s="18" t="str">
        <f>HYPERLINK("http://twitter.com","Twitter Web Client")</f>
        <v>Twitter Web Client</v>
      </c>
      <c r="L312" s="17">
        <v>2422</v>
      </c>
      <c r="M312" s="17">
        <v>2344</v>
      </c>
      <c r="N312" s="17">
        <v>164</v>
      </c>
      <c r="O312" s="19"/>
      <c r="P312" s="10">
        <v>39751.545844907407</v>
      </c>
      <c r="Q312" s="20" t="s">
        <v>61</v>
      </c>
      <c r="R312" s="21" t="s">
        <v>62</v>
      </c>
      <c r="S312" s="16" t="s">
        <v>63</v>
      </c>
      <c r="T312" s="15"/>
      <c r="U312" s="14" t="str">
        <f>HYPERLINK("https://pbs.twimg.com/profile_images/992918977172000769/pPUq69N4.jpg","View")</f>
        <v>View</v>
      </c>
    </row>
    <row r="313" spans="1:21" ht="30">
      <c r="A313" s="10">
        <v>43346.144328703704</v>
      </c>
      <c r="B313" s="11" t="str">
        <f>HYPERLINK("https://twitter.com/ellie__miles","@ellie__miles")</f>
        <v>@ellie__miles</v>
      </c>
      <c r="C313" s="12" t="s">
        <v>227</v>
      </c>
      <c r="D313" s="13" t="s">
        <v>829</v>
      </c>
      <c r="E313" s="14" t="str">
        <f>HYPERLINK("https://twitter.com/ellie__miles/status/1036561396719386625","1036561396719386625")</f>
        <v>1036561396719386625</v>
      </c>
      <c r="F313" s="15"/>
      <c r="G313" s="15"/>
      <c r="H313" s="15"/>
      <c r="I313" s="17">
        <v>2</v>
      </c>
      <c r="J313" s="17">
        <v>11</v>
      </c>
      <c r="K313" s="18" t="str">
        <f>HYPERLINK("https://mobile.twitter.com","Twitter Lite")</f>
        <v>Twitter Lite</v>
      </c>
      <c r="L313" s="17">
        <v>1051</v>
      </c>
      <c r="M313" s="17">
        <v>645</v>
      </c>
      <c r="N313" s="17">
        <v>29</v>
      </c>
      <c r="O313" s="19"/>
      <c r="P313" s="10">
        <v>41065.331909722227</v>
      </c>
      <c r="Q313" s="20" t="s">
        <v>56</v>
      </c>
      <c r="R313" s="21" t="s">
        <v>229</v>
      </c>
      <c r="S313" s="16" t="s">
        <v>230</v>
      </c>
      <c r="T313" s="15"/>
      <c r="U313" s="14" t="str">
        <f>HYPERLINK("https://pbs.twimg.com/profile_images/1017465512325009408/sUSUo4fg.jpg","View")</f>
        <v>View</v>
      </c>
    </row>
    <row r="314" spans="1:21" ht="20">
      <c r="A314" s="10">
        <v>43346.143900462965</v>
      </c>
      <c r="B314" s="11" t="str">
        <f>HYPERLINK("https://twitter.com/Sarah_DPC","@Sarah_DPC")</f>
        <v>@Sarah_DPC</v>
      </c>
      <c r="C314" s="12" t="s">
        <v>178</v>
      </c>
      <c r="D314" s="13" t="s">
        <v>830</v>
      </c>
      <c r="E314" s="14" t="str">
        <f>HYPERLINK("https://twitter.com/Sarah_DPC/status/1036561245145583616","1036561245145583616")</f>
        <v>1036561245145583616</v>
      </c>
      <c r="F314" s="15"/>
      <c r="G314" s="15"/>
      <c r="H314" s="15"/>
      <c r="I314" s="17">
        <v>0</v>
      </c>
      <c r="J314" s="17">
        <v>1</v>
      </c>
      <c r="K314" s="18" t="str">
        <f t="shared" ref="K314:K316" si="77">HYPERLINK("http://twitter.com/download/android","Twitter for Android")</f>
        <v>Twitter for Android</v>
      </c>
      <c r="L314" s="17">
        <v>1270</v>
      </c>
      <c r="M314" s="17">
        <v>715</v>
      </c>
      <c r="N314" s="17">
        <v>51</v>
      </c>
      <c r="O314" s="19"/>
      <c r="P314" s="10">
        <v>41373.188576388886</v>
      </c>
      <c r="Q314" s="20" t="s">
        <v>180</v>
      </c>
      <c r="R314" s="21" t="s">
        <v>181</v>
      </c>
      <c r="S314" s="16" t="s">
        <v>182</v>
      </c>
      <c r="T314" s="15"/>
      <c r="U314" s="14" t="str">
        <f>HYPERLINK("https://pbs.twimg.com/profile_images/867263862726434816/K2qoO6sD.jpg","View")</f>
        <v>View</v>
      </c>
    </row>
    <row r="315" spans="1:21" ht="40">
      <c r="A315" s="10">
        <v>43346.143437499995</v>
      </c>
      <c r="B315" s="11" t="str">
        <f>HYPERLINK("https://twitter.com/OonaghTweets","@OonaghTweets")</f>
        <v>@OonaghTweets</v>
      </c>
      <c r="C315" s="12" t="s">
        <v>432</v>
      </c>
      <c r="D315" s="13" t="s">
        <v>831</v>
      </c>
      <c r="E315" s="14" t="str">
        <f>HYPERLINK("https://twitter.com/OonaghTweets/status/1036561076685627392","1036561076685627392")</f>
        <v>1036561076685627392</v>
      </c>
      <c r="F315" s="15"/>
      <c r="G315" s="16" t="s">
        <v>832</v>
      </c>
      <c r="H315" s="15"/>
      <c r="I315" s="17">
        <v>1</v>
      </c>
      <c r="J315" s="17">
        <v>4</v>
      </c>
      <c r="K315" s="18" t="str">
        <f t="shared" si="77"/>
        <v>Twitter for Android</v>
      </c>
      <c r="L315" s="17">
        <v>5125</v>
      </c>
      <c r="M315" s="17">
        <v>4778</v>
      </c>
      <c r="N315" s="17">
        <v>213</v>
      </c>
      <c r="O315" s="19"/>
      <c r="P315" s="10">
        <v>40455.179166666669</v>
      </c>
      <c r="Q315" s="20" t="s">
        <v>435</v>
      </c>
      <c r="R315" s="21" t="s">
        <v>436</v>
      </c>
      <c r="S315" s="16" t="s">
        <v>437</v>
      </c>
      <c r="T315" s="15"/>
      <c r="U315" s="14" t="str">
        <f>HYPERLINK("https://pbs.twimg.com/profile_images/907377477491851265/9i6lqAFw.jpg","View")</f>
        <v>View</v>
      </c>
    </row>
    <row r="316" spans="1:21" ht="50">
      <c r="A316" s="10">
        <v>43346.142951388887</v>
      </c>
      <c r="B316" s="11" t="str">
        <f>HYPERLINK("https://twitter.com/Sarah_DPC","@Sarah_DPC")</f>
        <v>@Sarah_DPC</v>
      </c>
      <c r="C316" s="12" t="s">
        <v>178</v>
      </c>
      <c r="D316" s="13" t="s">
        <v>833</v>
      </c>
      <c r="E316" s="14" t="str">
        <f>HYPERLINK("https://twitter.com/Sarah_DPC/status/1036560898687688704","1036560898687688704")</f>
        <v>1036560898687688704</v>
      </c>
      <c r="F316" s="15"/>
      <c r="G316" s="15"/>
      <c r="H316" s="15"/>
      <c r="I316" s="17">
        <v>4</v>
      </c>
      <c r="J316" s="17">
        <v>5</v>
      </c>
      <c r="K316" s="18" t="str">
        <f t="shared" si="77"/>
        <v>Twitter for Android</v>
      </c>
      <c r="L316" s="17">
        <v>1270</v>
      </c>
      <c r="M316" s="17">
        <v>715</v>
      </c>
      <c r="N316" s="17">
        <v>51</v>
      </c>
      <c r="O316" s="19"/>
      <c r="P316" s="10">
        <v>41373.188576388886</v>
      </c>
      <c r="Q316" s="20" t="s">
        <v>180</v>
      </c>
      <c r="R316" s="21" t="s">
        <v>181</v>
      </c>
      <c r="S316" s="16" t="s">
        <v>182</v>
      </c>
      <c r="T316" s="15"/>
      <c r="U316" s="14" t="str">
        <f>HYPERLINK("https://pbs.twimg.com/profile_images/867263862726434816/K2qoO6sD.jpg","View")</f>
        <v>View</v>
      </c>
    </row>
    <row r="317" spans="1:21" ht="30">
      <c r="A317" s="10">
        <v>43346.142511574071</v>
      </c>
      <c r="B317" s="11" t="str">
        <f>HYPERLINK("https://twitter.com/peerside","@peerside")</f>
        <v>@peerside</v>
      </c>
      <c r="C317" s="12" t="s">
        <v>834</v>
      </c>
      <c r="D317" s="13" t="s">
        <v>835</v>
      </c>
      <c r="E317" s="14" t="str">
        <f>HYPERLINK("https://twitter.com/peerside/status/1036560738649812994","1036560738649812994")</f>
        <v>1036560738649812994</v>
      </c>
      <c r="F317" s="15"/>
      <c r="G317" s="15"/>
      <c r="H317" s="15"/>
      <c r="I317" s="17">
        <v>1</v>
      </c>
      <c r="J317" s="17">
        <v>2</v>
      </c>
      <c r="K317" s="18" t="str">
        <f>HYPERLINK("http://twitter.com","Twitter Web Client")</f>
        <v>Twitter Web Client</v>
      </c>
      <c r="L317" s="17">
        <v>525</v>
      </c>
      <c r="M317" s="17">
        <v>531</v>
      </c>
      <c r="N317" s="17">
        <v>97</v>
      </c>
      <c r="O317" s="19"/>
      <c r="P317" s="10">
        <v>39161.320034722223</v>
      </c>
      <c r="Q317" s="20" t="s">
        <v>836</v>
      </c>
      <c r="R317" s="21" t="s">
        <v>837</v>
      </c>
      <c r="S317" s="16" t="s">
        <v>838</v>
      </c>
      <c r="T317" s="15"/>
      <c r="U317" s="14" t="str">
        <f>HYPERLINK("https://pbs.twimg.com/profile_images/668907234819244034/EqRUl04q.jpg","View")</f>
        <v>View</v>
      </c>
    </row>
    <row r="318" spans="1:21" ht="30">
      <c r="A318" s="10">
        <v>43346.142476851848</v>
      </c>
      <c r="B318" s="11" t="str">
        <f>HYPERLINK("https://twitter.com/mcojo","@mcojo")</f>
        <v>@mcojo</v>
      </c>
      <c r="C318" s="12" t="s">
        <v>372</v>
      </c>
      <c r="D318" s="13" t="s">
        <v>839</v>
      </c>
      <c r="E318" s="14" t="str">
        <f>HYPERLINK("https://twitter.com/mcojo/status/1036560726201126912","1036560726201126912")</f>
        <v>1036560726201126912</v>
      </c>
      <c r="F318" s="15"/>
      <c r="G318" s="16" t="s">
        <v>840</v>
      </c>
      <c r="H318" s="15"/>
      <c r="I318" s="17">
        <v>2</v>
      </c>
      <c r="J318" s="17">
        <v>2</v>
      </c>
      <c r="K318" s="18" t="str">
        <f>HYPERLINK("http://twitter.com/#!/download/ipad","Twitter for iPad")</f>
        <v>Twitter for iPad</v>
      </c>
      <c r="L318" s="17">
        <v>963</v>
      </c>
      <c r="M318" s="17">
        <v>734</v>
      </c>
      <c r="N318" s="17">
        <v>73</v>
      </c>
      <c r="O318" s="19"/>
      <c r="P318" s="10">
        <v>40000.326574074075</v>
      </c>
      <c r="Q318" s="20" t="s">
        <v>375</v>
      </c>
      <c r="R318" s="21" t="s">
        <v>376</v>
      </c>
      <c r="S318" s="16" t="s">
        <v>377</v>
      </c>
      <c r="T318" s="15"/>
      <c r="U318" s="14" t="str">
        <f>HYPERLINK("https://pbs.twimg.com/profile_images/809493218421338113/-NdNTXIY.jpg","View")</f>
        <v>View</v>
      </c>
    </row>
    <row r="319" spans="1:21" ht="30">
      <c r="A319" s="10">
        <v>43346.14162037037</v>
      </c>
      <c r="B319" s="11" t="str">
        <f>HYPERLINK("https://twitter.com/lawsonlouise1","@lawsonlouise1")</f>
        <v>@lawsonlouise1</v>
      </c>
      <c r="C319" s="12" t="s">
        <v>841</v>
      </c>
      <c r="D319" s="13" t="s">
        <v>842</v>
      </c>
      <c r="E319" s="14" t="str">
        <f>HYPERLINK("https://twitter.com/lawsonlouise1/status/1036560415717830656","1036560415717830656")</f>
        <v>1036560415717830656</v>
      </c>
      <c r="F319" s="15"/>
      <c r="G319" s="15"/>
      <c r="H319" s="15"/>
      <c r="I319" s="17">
        <v>5</v>
      </c>
      <c r="J319" s="17">
        <v>10</v>
      </c>
      <c r="K319" s="18" t="str">
        <f>HYPERLINK("http://twitter.com/download/iphone","Twitter for iPhone")</f>
        <v>Twitter for iPhone</v>
      </c>
      <c r="L319" s="17">
        <v>75</v>
      </c>
      <c r="M319" s="17">
        <v>86</v>
      </c>
      <c r="N319" s="17">
        <v>2</v>
      </c>
      <c r="O319" s="19"/>
      <c r="P319" s="10">
        <v>43000.954166666663</v>
      </c>
      <c r="Q319" s="15"/>
      <c r="R319" s="21" t="s">
        <v>843</v>
      </c>
      <c r="S319" s="15"/>
      <c r="T319" s="15"/>
      <c r="U319" s="14" t="str">
        <f>HYPERLINK("https://pbs.twimg.com/profile_images/911471884587249664/cihaXAWs.jpg","View")</f>
        <v>View</v>
      </c>
    </row>
    <row r="320" spans="1:21" ht="40">
      <c r="A320" s="10">
        <v>43346.141493055555</v>
      </c>
      <c r="B320" s="11" t="str">
        <f>HYPERLINK("https://twitter.com/natalieharrower","@natalieharrower")</f>
        <v>@natalieharrower</v>
      </c>
      <c r="C320" s="12" t="s">
        <v>59</v>
      </c>
      <c r="D320" s="13" t="s">
        <v>844</v>
      </c>
      <c r="E320" s="14" t="str">
        <f>HYPERLINK("https://twitter.com/natalieharrower/status/1036560369374973952","1036560369374973952")</f>
        <v>1036560369374973952</v>
      </c>
      <c r="F320" s="15"/>
      <c r="G320" s="15"/>
      <c r="H320" s="15"/>
      <c r="I320" s="17">
        <v>2</v>
      </c>
      <c r="J320" s="17">
        <v>3</v>
      </c>
      <c r="K320" s="18" t="str">
        <f>HYPERLINK("http://twitter.com","Twitter Web Client")</f>
        <v>Twitter Web Client</v>
      </c>
      <c r="L320" s="17">
        <v>2422</v>
      </c>
      <c r="M320" s="17">
        <v>2344</v>
      </c>
      <c r="N320" s="17">
        <v>164</v>
      </c>
      <c r="O320" s="19"/>
      <c r="P320" s="10">
        <v>39751.545844907407</v>
      </c>
      <c r="Q320" s="20" t="s">
        <v>61</v>
      </c>
      <c r="R320" s="21" t="s">
        <v>62</v>
      </c>
      <c r="S320" s="16" t="s">
        <v>63</v>
      </c>
      <c r="T320" s="15"/>
      <c r="U320" s="14" t="str">
        <f>HYPERLINK("https://pbs.twimg.com/profile_images/992918977172000769/pPUq69N4.jpg","View")</f>
        <v>View</v>
      </c>
    </row>
    <row r="321" spans="1:21" ht="30">
      <c r="A321" s="10">
        <v>43346.141087962962</v>
      </c>
      <c r="B321" s="11" t="str">
        <f>HYPERLINK("https://twitter.com/FayeFortitude","@FayeFortitude")</f>
        <v>@FayeFortitude</v>
      </c>
      <c r="C321" s="12" t="s">
        <v>273</v>
      </c>
      <c r="D321" s="13" t="s">
        <v>845</v>
      </c>
      <c r="E321" s="14" t="str">
        <f>HYPERLINK("https://twitter.com/FayeFortitude/status/1036560225912860672","1036560225912860672")</f>
        <v>1036560225912860672</v>
      </c>
      <c r="F321" s="15"/>
      <c r="G321" s="15"/>
      <c r="H321" s="15"/>
      <c r="I321" s="17">
        <v>1</v>
      </c>
      <c r="J321" s="17">
        <v>1</v>
      </c>
      <c r="K321" s="18" t="str">
        <f>HYPERLINK("https://about.twitter.com/products/tweetdeck","TweetDeck")</f>
        <v>TweetDeck</v>
      </c>
      <c r="L321" s="17">
        <v>161</v>
      </c>
      <c r="M321" s="17">
        <v>408</v>
      </c>
      <c r="N321" s="17">
        <v>7</v>
      </c>
      <c r="O321" s="19"/>
      <c r="P321" s="10">
        <v>41297.314189814817</v>
      </c>
      <c r="Q321" s="15"/>
      <c r="R321" s="21" t="s">
        <v>276</v>
      </c>
      <c r="S321" s="15"/>
      <c r="T321" s="15"/>
      <c r="U321" s="14" t="str">
        <f>HYPERLINK("https://pbs.twimg.com/profile_images/775644277825269760/y51zQQM3.jpg","View")</f>
        <v>View</v>
      </c>
    </row>
    <row r="322" spans="1:21" ht="50">
      <c r="A322" s="10">
        <v>43346.1409837963</v>
      </c>
      <c r="B322" s="11" t="str">
        <f>HYPERLINK("https://twitter.com/HLFLondon","@HLFLondon")</f>
        <v>@HLFLondon</v>
      </c>
      <c r="C322" s="12" t="s">
        <v>54</v>
      </c>
      <c r="D322" s="13" t="s">
        <v>846</v>
      </c>
      <c r="E322" s="14" t="str">
        <f>HYPERLINK("https://twitter.com/HLFLondon/status/1036560188218724352","1036560188218724352")</f>
        <v>1036560188218724352</v>
      </c>
      <c r="F322" s="15"/>
      <c r="G322" s="15"/>
      <c r="H322" s="15"/>
      <c r="I322" s="17">
        <v>3</v>
      </c>
      <c r="J322" s="17">
        <v>3</v>
      </c>
      <c r="K322" s="18" t="str">
        <f>HYPERLINK("http://twitter.com/download/iphone","Twitter for iPhone")</f>
        <v>Twitter for iPhone</v>
      </c>
      <c r="L322" s="17">
        <v>3962</v>
      </c>
      <c r="M322" s="17">
        <v>1516</v>
      </c>
      <c r="N322" s="17">
        <v>74</v>
      </c>
      <c r="O322" s="19"/>
      <c r="P322" s="10">
        <v>41442.105706018519</v>
      </c>
      <c r="Q322" s="20" t="s">
        <v>56</v>
      </c>
      <c r="R322" s="21" t="s">
        <v>57</v>
      </c>
      <c r="S322" s="16" t="s">
        <v>58</v>
      </c>
      <c r="T322" s="15"/>
      <c r="U322" s="14" t="str">
        <f>HYPERLINK("https://pbs.twimg.com/profile_images/694839380582764544/6N71IZbb.jpg","View")</f>
        <v>View</v>
      </c>
    </row>
    <row r="323" spans="1:21" ht="40">
      <c r="A323" s="10">
        <v>43346.140775462962</v>
      </c>
      <c r="B323" s="11" t="str">
        <f>HYPERLINK("https://twitter.com/GeorgiaMallin","@GeorgiaMallin")</f>
        <v>@GeorgiaMallin</v>
      </c>
      <c r="C323" s="12" t="s">
        <v>126</v>
      </c>
      <c r="D323" s="13" t="s">
        <v>847</v>
      </c>
      <c r="E323" s="14" t="str">
        <f>HYPERLINK("https://twitter.com/GeorgiaMallin/status/1036560109483319306","1036560109483319306")</f>
        <v>1036560109483319306</v>
      </c>
      <c r="F323" s="15"/>
      <c r="G323" s="16" t="s">
        <v>848</v>
      </c>
      <c r="H323" s="15"/>
      <c r="I323" s="17">
        <v>2</v>
      </c>
      <c r="J323" s="17">
        <v>2</v>
      </c>
      <c r="K323" s="18" t="str">
        <f>HYPERLINK("http://twitter.com/download/android","Twitter for Android")</f>
        <v>Twitter for Android</v>
      </c>
      <c r="L323" s="17">
        <v>528</v>
      </c>
      <c r="M323" s="17">
        <v>1025</v>
      </c>
      <c r="N323" s="17">
        <v>11</v>
      </c>
      <c r="O323" s="19"/>
      <c r="P323" s="10">
        <v>40905.701087962967</v>
      </c>
      <c r="Q323" s="20" t="s">
        <v>41</v>
      </c>
      <c r="R323" s="21" t="s">
        <v>128</v>
      </c>
      <c r="S323" s="15"/>
      <c r="T323" s="15"/>
      <c r="U323" s="14" t="str">
        <f>HYPERLINK("https://pbs.twimg.com/profile_images/874631103193206784/akQp_6iv.jpg","View")</f>
        <v>View</v>
      </c>
    </row>
    <row r="324" spans="1:21" ht="30">
      <c r="A324" s="10">
        <v>43346.140648148154</v>
      </c>
      <c r="B324" s="11" t="str">
        <f>HYPERLINK("https://twitter.com/cewillett1","@cewillett1")</f>
        <v>@cewillett1</v>
      </c>
      <c r="C324" s="12" t="s">
        <v>285</v>
      </c>
      <c r="D324" s="13" t="s">
        <v>849</v>
      </c>
      <c r="E324" s="14" t="str">
        <f>HYPERLINK("https://twitter.com/cewillett1/status/1036560066466471941","1036560066466471941")</f>
        <v>1036560066466471941</v>
      </c>
      <c r="F324" s="15"/>
      <c r="G324" s="16" t="s">
        <v>850</v>
      </c>
      <c r="H324" s="15"/>
      <c r="I324" s="17">
        <v>2</v>
      </c>
      <c r="J324" s="17">
        <v>8</v>
      </c>
      <c r="K324" s="18" t="str">
        <f>HYPERLINK("http://twitter.com/download/iphone","Twitter for iPhone")</f>
        <v>Twitter for iPhone</v>
      </c>
      <c r="L324" s="17">
        <v>164</v>
      </c>
      <c r="M324" s="17">
        <v>232</v>
      </c>
      <c r="N324" s="17">
        <v>8</v>
      </c>
      <c r="O324" s="19"/>
      <c r="P324" s="10">
        <v>41697.407939814817</v>
      </c>
      <c r="Q324" s="20" t="s">
        <v>41</v>
      </c>
      <c r="R324" s="21" t="s">
        <v>288</v>
      </c>
      <c r="S324" s="15"/>
      <c r="T324" s="15"/>
      <c r="U324" s="14" t="str">
        <f>HYPERLINK("https://pbs.twimg.com/profile_images/1002132771991642113/0Y2s1p3O.jpg","View")</f>
        <v>View</v>
      </c>
    </row>
    <row r="325" spans="1:21" ht="30">
      <c r="A325" s="10">
        <v>43346.140486111108</v>
      </c>
      <c r="B325" s="11" t="str">
        <f>HYPERLINK("https://twitter.com/Sarah_DPC","@Sarah_DPC")</f>
        <v>@Sarah_DPC</v>
      </c>
      <c r="C325" s="12" t="s">
        <v>178</v>
      </c>
      <c r="D325" s="13" t="s">
        <v>851</v>
      </c>
      <c r="E325" s="14" t="str">
        <f>HYPERLINK("https://twitter.com/Sarah_DPC/status/1036560005867208704","1036560005867208704")</f>
        <v>1036560005867208704</v>
      </c>
      <c r="F325" s="15"/>
      <c r="G325" s="15"/>
      <c r="H325" s="15"/>
      <c r="I325" s="17">
        <v>2</v>
      </c>
      <c r="J325" s="17">
        <v>4</v>
      </c>
      <c r="K325" s="18" t="str">
        <f>HYPERLINK("http://twitter.com/download/android","Twitter for Android")</f>
        <v>Twitter for Android</v>
      </c>
      <c r="L325" s="17">
        <v>1270</v>
      </c>
      <c r="M325" s="17">
        <v>715</v>
      </c>
      <c r="N325" s="17">
        <v>51</v>
      </c>
      <c r="O325" s="19"/>
      <c r="P325" s="10">
        <v>41373.188576388886</v>
      </c>
      <c r="Q325" s="20" t="s">
        <v>180</v>
      </c>
      <c r="R325" s="21" t="s">
        <v>181</v>
      </c>
      <c r="S325" s="16" t="s">
        <v>182</v>
      </c>
      <c r="T325" s="15"/>
      <c r="U325" s="14" t="str">
        <f>HYPERLINK("https://pbs.twimg.com/profile_images/867263862726434816/K2qoO6sD.jpg","View")</f>
        <v>View</v>
      </c>
    </row>
    <row r="326" spans="1:21" ht="30">
      <c r="A326" s="10">
        <v>43346.139837962968</v>
      </c>
      <c r="B326" s="11" t="str">
        <f>HYPERLINK("https://twitter.com/trudie78","@trudie78")</f>
        <v>@trudie78</v>
      </c>
      <c r="C326" s="12" t="s">
        <v>852</v>
      </c>
      <c r="D326" s="13" t="s">
        <v>853</v>
      </c>
      <c r="E326" s="14" t="str">
        <f>HYPERLINK("https://twitter.com/trudie78/status/1036559772068265984","1036559772068265984")</f>
        <v>1036559772068265984</v>
      </c>
      <c r="F326" s="15"/>
      <c r="G326" s="15"/>
      <c r="H326" s="15"/>
      <c r="I326" s="17">
        <v>1</v>
      </c>
      <c r="J326" s="17">
        <v>3</v>
      </c>
      <c r="K326" s="18" t="str">
        <f>HYPERLINK("http://twitter.com/#!/download/ipad","Twitter for iPad")</f>
        <v>Twitter for iPad</v>
      </c>
      <c r="L326" s="17">
        <v>106</v>
      </c>
      <c r="M326" s="17">
        <v>203</v>
      </c>
      <c r="N326" s="17">
        <v>6</v>
      </c>
      <c r="O326" s="19"/>
      <c r="P326" s="10">
        <v>40446.341226851851</v>
      </c>
      <c r="Q326" s="20" t="s">
        <v>854</v>
      </c>
      <c r="R326" s="21" t="s">
        <v>855</v>
      </c>
      <c r="S326" s="15"/>
      <c r="T326" s="15"/>
      <c r="U326" s="14" t="str">
        <f>HYPERLINK("https://pbs.twimg.com/profile_images/472309585836249088/l1b0ba11.jpeg","View")</f>
        <v>View</v>
      </c>
    </row>
    <row r="327" spans="1:21" ht="40">
      <c r="A327" s="10">
        <v>43346.138888888891</v>
      </c>
      <c r="B327" s="11" t="str">
        <f>HYPERLINK("https://twitter.com/SimonTanner","@SimonTanner")</f>
        <v>@SimonTanner</v>
      </c>
      <c r="C327" s="12" t="s">
        <v>856</v>
      </c>
      <c r="D327" s="13" t="s">
        <v>857</v>
      </c>
      <c r="E327" s="14" t="str">
        <f>HYPERLINK("https://twitter.com/SimonTanner/status/1036559426872721408","1036559426872721408")</f>
        <v>1036559426872721408</v>
      </c>
      <c r="F327" s="16" t="s">
        <v>858</v>
      </c>
      <c r="G327" s="16" t="s">
        <v>809</v>
      </c>
      <c r="H327" s="15"/>
      <c r="I327" s="17">
        <v>41</v>
      </c>
      <c r="J327" s="17">
        <v>71</v>
      </c>
      <c r="K327" s="18" t="str">
        <f>HYPERLINK("https://about.twitter.com/products/tweetdeck","TweetDeck")</f>
        <v>TweetDeck</v>
      </c>
      <c r="L327" s="17">
        <v>6330</v>
      </c>
      <c r="M327" s="17">
        <v>3709</v>
      </c>
      <c r="N327" s="17">
        <v>371</v>
      </c>
      <c r="O327" s="19"/>
      <c r="P327" s="10">
        <v>39157.121157407411</v>
      </c>
      <c r="Q327" s="20" t="s">
        <v>220</v>
      </c>
      <c r="R327" s="21" t="s">
        <v>859</v>
      </c>
      <c r="S327" s="16" t="s">
        <v>860</v>
      </c>
      <c r="T327" s="15"/>
      <c r="U327" s="14" t="str">
        <f>HYPERLINK("https://pbs.twimg.com/profile_images/1003922778599428096/avuDtDod.jpg","View")</f>
        <v>View</v>
      </c>
    </row>
    <row r="328" spans="1:21" ht="20">
      <c r="A328" s="10">
        <v>43346.137361111112</v>
      </c>
      <c r="B328" s="11" t="str">
        <f t="shared" ref="B328:B329" si="78">HYPERLINK("https://twitter.com/Sarah_DPC","@Sarah_DPC")</f>
        <v>@Sarah_DPC</v>
      </c>
      <c r="C328" s="12" t="s">
        <v>178</v>
      </c>
      <c r="D328" s="13" t="s">
        <v>861</v>
      </c>
      <c r="E328" s="14" t="str">
        <f>HYPERLINK("https://twitter.com/Sarah_DPC/status/1036558874713763840","1036558874713763840")</f>
        <v>1036558874713763840</v>
      </c>
      <c r="F328" s="15"/>
      <c r="G328" s="15"/>
      <c r="H328" s="15"/>
      <c r="I328" s="17">
        <v>2</v>
      </c>
      <c r="J328" s="17">
        <v>1</v>
      </c>
      <c r="K328" s="18" t="str">
        <f t="shared" ref="K328:K329" si="79">HYPERLINK("http://twitter.com/download/android","Twitter for Android")</f>
        <v>Twitter for Android</v>
      </c>
      <c r="L328" s="17">
        <v>1270</v>
      </c>
      <c r="M328" s="17">
        <v>715</v>
      </c>
      <c r="N328" s="17">
        <v>51</v>
      </c>
      <c r="O328" s="19"/>
      <c r="P328" s="10">
        <v>41373.188576388886</v>
      </c>
      <c r="Q328" s="20" t="s">
        <v>180</v>
      </c>
      <c r="R328" s="21" t="s">
        <v>181</v>
      </c>
      <c r="S328" s="16" t="s">
        <v>182</v>
      </c>
      <c r="T328" s="15"/>
      <c r="U328" s="14" t="str">
        <f t="shared" ref="U328:U329" si="80">HYPERLINK("https://pbs.twimg.com/profile_images/867263862726434816/K2qoO6sD.jpg","View")</f>
        <v>View</v>
      </c>
    </row>
    <row r="329" spans="1:21" ht="20">
      <c r="A329" s="10">
        <v>43346.136377314819</v>
      </c>
      <c r="B329" s="11" t="str">
        <f t="shared" si="78"/>
        <v>@Sarah_DPC</v>
      </c>
      <c r="C329" s="12" t="s">
        <v>178</v>
      </c>
      <c r="D329" s="13" t="s">
        <v>862</v>
      </c>
      <c r="E329" s="14" t="str">
        <f>HYPERLINK("https://twitter.com/Sarah_DPC/status/1036558517572915208","1036558517572915208")</f>
        <v>1036558517572915208</v>
      </c>
      <c r="F329" s="15"/>
      <c r="G329" s="16" t="s">
        <v>863</v>
      </c>
      <c r="H329" s="15"/>
      <c r="I329" s="17">
        <v>3</v>
      </c>
      <c r="J329" s="17">
        <v>3</v>
      </c>
      <c r="K329" s="18" t="str">
        <f t="shared" si="79"/>
        <v>Twitter for Android</v>
      </c>
      <c r="L329" s="17">
        <v>1270</v>
      </c>
      <c r="M329" s="17">
        <v>715</v>
      </c>
      <c r="N329" s="17">
        <v>51</v>
      </c>
      <c r="O329" s="19"/>
      <c r="P329" s="10">
        <v>41373.188576388886</v>
      </c>
      <c r="Q329" s="20" t="s">
        <v>180</v>
      </c>
      <c r="R329" s="21" t="s">
        <v>181</v>
      </c>
      <c r="S329" s="16" t="s">
        <v>182</v>
      </c>
      <c r="T329" s="15"/>
      <c r="U329" s="14" t="str">
        <f t="shared" si="80"/>
        <v>View</v>
      </c>
    </row>
    <row r="330" spans="1:21" ht="40">
      <c r="A330" s="10">
        <v>43346.135960648149</v>
      </c>
      <c r="B330" s="11" t="str">
        <f>HYPERLINK("https://twitter.com/gabbyheffernan","@gabbyheffernan")</f>
        <v>@gabbyheffernan</v>
      </c>
      <c r="C330" s="12" t="s">
        <v>443</v>
      </c>
      <c r="D330" s="13" t="s">
        <v>864</v>
      </c>
      <c r="E330" s="14" t="str">
        <f>HYPERLINK("https://twitter.com/gabbyheffernan/status/1036558365235847168","1036558365235847168")</f>
        <v>1036558365235847168</v>
      </c>
      <c r="F330" s="15"/>
      <c r="G330" s="16" t="s">
        <v>865</v>
      </c>
      <c r="H330" s="15"/>
      <c r="I330" s="17">
        <v>7</v>
      </c>
      <c r="J330" s="17">
        <v>34</v>
      </c>
      <c r="K330" s="18" t="str">
        <f>HYPERLINK("http://twitter.com/download/iphone","Twitter for iPhone")</f>
        <v>Twitter for iPhone</v>
      </c>
      <c r="L330" s="17">
        <v>879</v>
      </c>
      <c r="M330" s="17">
        <v>576</v>
      </c>
      <c r="N330" s="17">
        <v>22</v>
      </c>
      <c r="O330" s="19"/>
      <c r="P330" s="10">
        <v>40533.425312499996</v>
      </c>
      <c r="Q330" s="15"/>
      <c r="R330" s="21" t="s">
        <v>446</v>
      </c>
      <c r="S330" s="16" t="s">
        <v>447</v>
      </c>
      <c r="T330" s="15"/>
      <c r="U330" s="14" t="str">
        <f>HYPERLINK("https://pbs.twimg.com/profile_images/691247658246246400/FLXNDfqx.jpg","View")</f>
        <v>View</v>
      </c>
    </row>
    <row r="331" spans="1:21" ht="60">
      <c r="A331" s="10">
        <v>43346.135914351849</v>
      </c>
      <c r="B331" s="11" t="str">
        <f>HYPERLINK("https://twitter.com/julia_fallon","@julia_fallon")</f>
        <v>@julia_fallon</v>
      </c>
      <c r="C331" s="12" t="s">
        <v>866</v>
      </c>
      <c r="D331" s="13" t="s">
        <v>867</v>
      </c>
      <c r="E331" s="14" t="str">
        <f>HYPERLINK("https://twitter.com/julia_fallon/status/1036558349427519488","1036558349427519488")</f>
        <v>1036558349427519488</v>
      </c>
      <c r="F331" s="16" t="s">
        <v>868</v>
      </c>
      <c r="G331" s="16" t="s">
        <v>869</v>
      </c>
      <c r="H331" s="15"/>
      <c r="I331" s="17">
        <v>1</v>
      </c>
      <c r="J331" s="17">
        <v>1</v>
      </c>
      <c r="K331" s="18" t="str">
        <f>HYPERLINK("http://twitter.com","Twitter Web Client")</f>
        <v>Twitter Web Client</v>
      </c>
      <c r="L331" s="17">
        <v>1005</v>
      </c>
      <c r="M331" s="17">
        <v>1908</v>
      </c>
      <c r="N331" s="17">
        <v>37</v>
      </c>
      <c r="O331" s="19"/>
      <c r="P331" s="10">
        <v>39843.58965277778</v>
      </c>
      <c r="Q331" s="20" t="s">
        <v>870</v>
      </c>
      <c r="R331" s="21" t="s">
        <v>871</v>
      </c>
      <c r="S331" s="16" t="s">
        <v>872</v>
      </c>
      <c r="T331" s="15"/>
      <c r="U331" s="14" t="str">
        <f>HYPERLINK("https://pbs.twimg.com/profile_images/1008456334465957888/0040MidS.jpg","View")</f>
        <v>View</v>
      </c>
    </row>
    <row r="332" spans="1:21" ht="40">
      <c r="A332" s="10">
        <v>43346.135659722218</v>
      </c>
      <c r="B332" s="11" t="str">
        <f>HYPERLINK("https://twitter.com/amkelleher1","@amkelleher1")</f>
        <v>@amkelleher1</v>
      </c>
      <c r="C332" s="12" t="s">
        <v>243</v>
      </c>
      <c r="D332" s="13" t="s">
        <v>873</v>
      </c>
      <c r="E332" s="14" t="str">
        <f>HYPERLINK("https://twitter.com/amkelleher1/status/1036558258700525569","1036558258700525569")</f>
        <v>1036558258700525569</v>
      </c>
      <c r="F332" s="15"/>
      <c r="G332" s="15"/>
      <c r="H332" s="15"/>
      <c r="I332" s="17">
        <v>1</v>
      </c>
      <c r="J332" s="17">
        <v>4</v>
      </c>
      <c r="K332" s="18" t="str">
        <f>HYPERLINK("http://twitter.com/download/android","Twitter for Android")</f>
        <v>Twitter for Android</v>
      </c>
      <c r="L332" s="17">
        <v>537</v>
      </c>
      <c r="M332" s="17">
        <v>784</v>
      </c>
      <c r="N332" s="17">
        <v>24</v>
      </c>
      <c r="O332" s="19"/>
      <c r="P332" s="10">
        <v>40726.868530092594</v>
      </c>
      <c r="Q332" s="20" t="s">
        <v>245</v>
      </c>
      <c r="R332" s="21" t="s">
        <v>246</v>
      </c>
      <c r="S332" s="16" t="s">
        <v>247</v>
      </c>
      <c r="T332" s="15"/>
      <c r="U332" s="14" t="str">
        <f>HYPERLINK("https://pbs.twimg.com/profile_images/829771558935785473/D5xq017x.jpg","View")</f>
        <v>View</v>
      </c>
    </row>
    <row r="333" spans="1:21" ht="40">
      <c r="A333" s="10">
        <v>43346.135497685187</v>
      </c>
      <c r="B333" s="11" t="str">
        <f>HYPERLINK("https://twitter.com/ElisaGravil","@ElisaGravil")</f>
        <v>@ElisaGravil</v>
      </c>
      <c r="C333" s="12" t="s">
        <v>138</v>
      </c>
      <c r="D333" s="13" t="s">
        <v>874</v>
      </c>
      <c r="E333" s="14" t="str">
        <f>HYPERLINK("https://twitter.com/ElisaGravil/status/1036558198977843200","1036558198977843200")</f>
        <v>1036558198977843200</v>
      </c>
      <c r="F333" s="15"/>
      <c r="G333" s="16" t="s">
        <v>875</v>
      </c>
      <c r="H333" s="15"/>
      <c r="I333" s="17">
        <v>7</v>
      </c>
      <c r="J333" s="17">
        <v>10</v>
      </c>
      <c r="K333" s="18" t="str">
        <f>HYPERLINK("http://twitter.com/download/iphone","Twitter for iPhone")</f>
        <v>Twitter for iPhone</v>
      </c>
      <c r="L333" s="17">
        <v>704</v>
      </c>
      <c r="M333" s="17">
        <v>1378</v>
      </c>
      <c r="N333" s="17">
        <v>18</v>
      </c>
      <c r="O333" s="19"/>
      <c r="P333" s="10">
        <v>40164.047962962963</v>
      </c>
      <c r="Q333" s="20" t="s">
        <v>141</v>
      </c>
      <c r="R333" s="21" t="s">
        <v>142</v>
      </c>
      <c r="S333" s="16" t="s">
        <v>143</v>
      </c>
      <c r="T333" s="15"/>
      <c r="U333" s="14" t="str">
        <f>HYPERLINK("https://pbs.twimg.com/profile_images/943772601150820353/-K75sKA9.jpg","View")</f>
        <v>View</v>
      </c>
    </row>
    <row r="334" spans="1:21" ht="20">
      <c r="A334" s="10">
        <v>43346.135358796295</v>
      </c>
      <c r="B334" s="11" t="str">
        <f>HYPERLINK("https://twitter.com/Sarah_DPC","@Sarah_DPC")</f>
        <v>@Sarah_DPC</v>
      </c>
      <c r="C334" s="12" t="s">
        <v>178</v>
      </c>
      <c r="D334" s="13" t="s">
        <v>876</v>
      </c>
      <c r="E334" s="14" t="str">
        <f>HYPERLINK("https://twitter.com/Sarah_DPC/status/1036558149623459841","1036558149623459841")</f>
        <v>1036558149623459841</v>
      </c>
      <c r="F334" s="15"/>
      <c r="G334" s="15"/>
      <c r="H334" s="15"/>
      <c r="I334" s="17">
        <v>2</v>
      </c>
      <c r="J334" s="17">
        <v>0</v>
      </c>
      <c r="K334" s="18" t="str">
        <f t="shared" ref="K334:K335" si="81">HYPERLINK("http://twitter.com/download/android","Twitter for Android")</f>
        <v>Twitter for Android</v>
      </c>
      <c r="L334" s="17">
        <v>1270</v>
      </c>
      <c r="M334" s="17">
        <v>715</v>
      </c>
      <c r="N334" s="17">
        <v>51</v>
      </c>
      <c r="O334" s="19"/>
      <c r="P334" s="10">
        <v>41373.188576388886</v>
      </c>
      <c r="Q334" s="20" t="s">
        <v>180</v>
      </c>
      <c r="R334" s="21" t="s">
        <v>181</v>
      </c>
      <c r="S334" s="16" t="s">
        <v>182</v>
      </c>
      <c r="T334" s="15"/>
      <c r="U334" s="14" t="str">
        <f>HYPERLINK("https://pbs.twimg.com/profile_images/867263862726434816/K2qoO6sD.jpg","View")</f>
        <v>View</v>
      </c>
    </row>
    <row r="335" spans="1:21" ht="30">
      <c r="A335" s="10">
        <v>43346.135254629626</v>
      </c>
      <c r="B335" s="11" t="str">
        <f>HYPERLINK("https://twitter.com/SLIPIreland","@SLIPIreland")</f>
        <v>@SLIPIreland</v>
      </c>
      <c r="C335" s="12" t="s">
        <v>161</v>
      </c>
      <c r="D335" s="13" t="s">
        <v>877</v>
      </c>
      <c r="E335" s="14" t="str">
        <f>HYPERLINK("https://twitter.com/SLIPIreland/status/1036558108657635334","1036558108657635334")</f>
        <v>1036558108657635334</v>
      </c>
      <c r="F335" s="15"/>
      <c r="G335" s="16" t="s">
        <v>878</v>
      </c>
      <c r="H335" s="15"/>
      <c r="I335" s="17">
        <v>6</v>
      </c>
      <c r="J335" s="17">
        <v>13</v>
      </c>
      <c r="K335" s="18" t="str">
        <f t="shared" si="81"/>
        <v>Twitter for Android</v>
      </c>
      <c r="L335" s="17">
        <v>943</v>
      </c>
      <c r="M335" s="17">
        <v>581</v>
      </c>
      <c r="N335" s="17">
        <v>43</v>
      </c>
      <c r="O335" s="19"/>
      <c r="P335" s="10">
        <v>42067.319490740745</v>
      </c>
      <c r="Q335" s="20" t="s">
        <v>164</v>
      </c>
      <c r="R335" s="21" t="s">
        <v>165</v>
      </c>
      <c r="S335" s="16" t="s">
        <v>166</v>
      </c>
      <c r="T335" s="15"/>
      <c r="U335" s="14" t="str">
        <f>HYPERLINK("https://pbs.twimg.com/profile_images/611647654574051328/YqIu3i2j.png","View")</f>
        <v>View</v>
      </c>
    </row>
    <row r="336" spans="1:21" ht="30">
      <c r="A336" s="10">
        <v>43346.135150462964</v>
      </c>
      <c r="B336" s="11" t="str">
        <f>HYPERLINK("https://twitter.com/MissNestor","@MissNestor")</f>
        <v>@MissNestor</v>
      </c>
      <c r="C336" s="12" t="s">
        <v>879</v>
      </c>
      <c r="D336" s="13" t="s">
        <v>880</v>
      </c>
      <c r="E336" s="14" t="str">
        <f>HYPERLINK("https://twitter.com/MissNestor/status/1036558072922161152","1036558072922161152")</f>
        <v>1036558072922161152</v>
      </c>
      <c r="F336" s="15"/>
      <c r="G336" s="15"/>
      <c r="H336" s="15"/>
      <c r="I336" s="17">
        <v>1</v>
      </c>
      <c r="J336" s="17">
        <v>1</v>
      </c>
      <c r="K336" s="18" t="str">
        <f>HYPERLINK("http://twitter.com/download/iphone","Twitter for iPhone")</f>
        <v>Twitter for iPhone</v>
      </c>
      <c r="L336" s="17">
        <v>344</v>
      </c>
      <c r="M336" s="17">
        <v>255</v>
      </c>
      <c r="N336" s="17">
        <v>7</v>
      </c>
      <c r="O336" s="19"/>
      <c r="P336" s="10">
        <v>40272.425300925926</v>
      </c>
      <c r="Q336" s="20" t="s">
        <v>881</v>
      </c>
      <c r="R336" s="21" t="s">
        <v>882</v>
      </c>
      <c r="S336" s="15"/>
      <c r="T336" s="15"/>
      <c r="U336" s="14" t="str">
        <f>HYPERLINK("https://pbs.twimg.com/profile_images/902998818635034626/pFq6KTA1.jpg","View")</f>
        <v>View</v>
      </c>
    </row>
    <row r="337" spans="1:21" ht="40">
      <c r="A337" s="10">
        <v>43346.134988425925</v>
      </c>
      <c r="B337" s="11" t="str">
        <f>HYPERLINK("https://twitter.com/JoePadfield","@JoePadfield")</f>
        <v>@JoePadfield</v>
      </c>
      <c r="C337" s="12" t="s">
        <v>323</v>
      </c>
      <c r="D337" s="13" t="s">
        <v>883</v>
      </c>
      <c r="E337" s="14" t="str">
        <f>HYPERLINK("https://twitter.com/JoePadfield/status/1036558012016721920","1036558012016721920")</f>
        <v>1036558012016721920</v>
      </c>
      <c r="F337" s="15"/>
      <c r="G337" s="15"/>
      <c r="H337" s="15"/>
      <c r="I337" s="17">
        <v>1</v>
      </c>
      <c r="J337" s="17">
        <v>1</v>
      </c>
      <c r="K337" s="18" t="str">
        <f t="shared" ref="K337:K340" si="82">HYPERLINK("http://twitter.com/download/android","Twitter for Android")</f>
        <v>Twitter for Android</v>
      </c>
      <c r="L337" s="17">
        <v>1094</v>
      </c>
      <c r="M337" s="17">
        <v>543</v>
      </c>
      <c r="N337" s="17">
        <v>64</v>
      </c>
      <c r="O337" s="19"/>
      <c r="P337" s="10">
        <v>39877.535543981481</v>
      </c>
      <c r="Q337" s="20" t="s">
        <v>56</v>
      </c>
      <c r="R337" s="21" t="s">
        <v>325</v>
      </c>
      <c r="S337" s="16" t="s">
        <v>326</v>
      </c>
      <c r="T337" s="15"/>
      <c r="U337" s="14" t="str">
        <f>HYPERLINK("https://pbs.twimg.com/profile_images/1010189169841328128/aFZtk4bf.jpg","View")</f>
        <v>View</v>
      </c>
    </row>
    <row r="338" spans="1:21" ht="40">
      <c r="A338" s="10">
        <v>43346.134699074071</v>
      </c>
      <c r="B338" s="11" t="str">
        <f>HYPERLINK("https://twitter.com/GeorgiaMallin","@GeorgiaMallin")</f>
        <v>@GeorgiaMallin</v>
      </c>
      <c r="C338" s="12" t="s">
        <v>126</v>
      </c>
      <c r="D338" s="13" t="s">
        <v>884</v>
      </c>
      <c r="E338" s="14" t="str">
        <f>HYPERLINK("https://twitter.com/GeorgiaMallin/status/1036557909767929856","1036557909767929856")</f>
        <v>1036557909767929856</v>
      </c>
      <c r="F338" s="15"/>
      <c r="G338" s="16" t="s">
        <v>885</v>
      </c>
      <c r="H338" s="15"/>
      <c r="I338" s="17">
        <v>1</v>
      </c>
      <c r="J338" s="17">
        <v>5</v>
      </c>
      <c r="K338" s="18" t="str">
        <f t="shared" si="82"/>
        <v>Twitter for Android</v>
      </c>
      <c r="L338" s="17">
        <v>528</v>
      </c>
      <c r="M338" s="17">
        <v>1025</v>
      </c>
      <c r="N338" s="17">
        <v>11</v>
      </c>
      <c r="O338" s="19"/>
      <c r="P338" s="10">
        <v>40905.701087962967</v>
      </c>
      <c r="Q338" s="20" t="s">
        <v>41</v>
      </c>
      <c r="R338" s="21" t="s">
        <v>128</v>
      </c>
      <c r="S338" s="15"/>
      <c r="T338" s="15"/>
      <c r="U338" s="14" t="str">
        <f>HYPERLINK("https://pbs.twimg.com/profile_images/874631103193206784/akQp_6iv.jpg","View")</f>
        <v>View</v>
      </c>
    </row>
    <row r="339" spans="1:21" ht="30">
      <c r="A339" s="10">
        <v>43346.134432870371</v>
      </c>
      <c r="B339" s="11" t="str">
        <f>HYPERLINK("https://twitter.com/Sarah_DPC","@Sarah_DPC")</f>
        <v>@Sarah_DPC</v>
      </c>
      <c r="C339" s="12" t="s">
        <v>178</v>
      </c>
      <c r="D339" s="13" t="s">
        <v>886</v>
      </c>
      <c r="E339" s="14" t="str">
        <f>HYPERLINK("https://twitter.com/Sarah_DPC/status/1036557812325908480","1036557812325908480")</f>
        <v>1036557812325908480</v>
      </c>
      <c r="F339" s="15"/>
      <c r="G339" s="15"/>
      <c r="H339" s="15"/>
      <c r="I339" s="17">
        <v>2</v>
      </c>
      <c r="J339" s="17">
        <v>1</v>
      </c>
      <c r="K339" s="18" t="str">
        <f t="shared" si="82"/>
        <v>Twitter for Android</v>
      </c>
      <c r="L339" s="17">
        <v>1270</v>
      </c>
      <c r="M339" s="17">
        <v>715</v>
      </c>
      <c r="N339" s="17">
        <v>51</v>
      </c>
      <c r="O339" s="19"/>
      <c r="P339" s="10">
        <v>41373.188576388886</v>
      </c>
      <c r="Q339" s="20" t="s">
        <v>180</v>
      </c>
      <c r="R339" s="21" t="s">
        <v>181</v>
      </c>
      <c r="S339" s="16" t="s">
        <v>182</v>
      </c>
      <c r="T339" s="15"/>
      <c r="U339" s="14" t="str">
        <f>HYPERLINK("https://pbs.twimg.com/profile_images/867263862726434816/K2qoO6sD.jpg","View")</f>
        <v>View</v>
      </c>
    </row>
    <row r="340" spans="1:21" ht="20">
      <c r="A340" s="10">
        <v>43346.134236111116</v>
      </c>
      <c r="B340" s="11" t="str">
        <f>HYPERLINK("https://twitter.com/ahurst246","@ahurst246")</f>
        <v>@ahurst246</v>
      </c>
      <c r="C340" s="12" t="s">
        <v>772</v>
      </c>
      <c r="D340" s="13" t="s">
        <v>887</v>
      </c>
      <c r="E340" s="14" t="str">
        <f>HYPERLINK("https://twitter.com/ahurst246/status/1036557742335557633","1036557742335557633")</f>
        <v>1036557742335557633</v>
      </c>
      <c r="F340" s="15"/>
      <c r="G340" s="16" t="s">
        <v>888</v>
      </c>
      <c r="H340" s="15"/>
      <c r="I340" s="17">
        <v>0</v>
      </c>
      <c r="J340" s="17">
        <v>3</v>
      </c>
      <c r="K340" s="18" t="str">
        <f t="shared" si="82"/>
        <v>Twitter for Android</v>
      </c>
      <c r="L340" s="17">
        <v>75</v>
      </c>
      <c r="M340" s="17">
        <v>230</v>
      </c>
      <c r="N340" s="17">
        <v>2</v>
      </c>
      <c r="O340" s="19"/>
      <c r="P340" s="10">
        <v>41065.580520833333</v>
      </c>
      <c r="Q340" s="15"/>
      <c r="R340" s="21" t="s">
        <v>775</v>
      </c>
      <c r="S340" s="15"/>
      <c r="T340" s="15"/>
      <c r="U340" s="14" t="str">
        <f>HYPERLINK("https://pbs.twimg.com/profile_images/837433289665359872/Fry4al23.jpg","View")</f>
        <v>View</v>
      </c>
    </row>
    <row r="341" spans="1:21" ht="40">
      <c r="A341" s="10">
        <v>43346.133784722224</v>
      </c>
      <c r="B341" s="11" t="str">
        <f>HYPERLINK("https://twitter.com/Cara_Hirst","@Cara_Hirst")</f>
        <v>@Cara_Hirst</v>
      </c>
      <c r="C341" s="12" t="s">
        <v>37</v>
      </c>
      <c r="D341" s="13" t="s">
        <v>889</v>
      </c>
      <c r="E341" s="14" t="str">
        <f>HYPERLINK("https://twitter.com/Cara_Hirst/status/1036557579118370816","1036557579118370816")</f>
        <v>1036557579118370816</v>
      </c>
      <c r="F341" s="15"/>
      <c r="G341" s="16" t="s">
        <v>890</v>
      </c>
      <c r="H341" s="15"/>
      <c r="I341" s="17">
        <v>8</v>
      </c>
      <c r="J341" s="17">
        <v>22</v>
      </c>
      <c r="K341" s="18" t="str">
        <f t="shared" ref="K341:K342" si="83">HYPERLINK("http://twitter.com/download/iphone","Twitter for iPhone")</f>
        <v>Twitter for iPhone</v>
      </c>
      <c r="L341" s="17">
        <v>107</v>
      </c>
      <c r="M341" s="17">
        <v>126</v>
      </c>
      <c r="N341" s="17">
        <v>0</v>
      </c>
      <c r="O341" s="19"/>
      <c r="P341" s="10">
        <v>42876.36414351852</v>
      </c>
      <c r="Q341" s="20" t="s">
        <v>41</v>
      </c>
      <c r="R341" s="21" t="s">
        <v>42</v>
      </c>
      <c r="S341" s="16" t="s">
        <v>43</v>
      </c>
      <c r="T341" s="15"/>
      <c r="U341" s="14" t="str">
        <f>HYPERLINK("https://pbs.twimg.com/profile_images/1010580953029324800/pVaxjC1u.jpg","View")</f>
        <v>View</v>
      </c>
    </row>
    <row r="342" spans="1:21" ht="40">
      <c r="A342" s="10">
        <v>43346.1331712963</v>
      </c>
      <c r="B342" s="11" t="str">
        <f>HYPERLINK("https://twitter.com/natalieharrower","@natalieharrower")</f>
        <v>@natalieharrower</v>
      </c>
      <c r="C342" s="12" t="s">
        <v>59</v>
      </c>
      <c r="D342" s="13" t="s">
        <v>891</v>
      </c>
      <c r="E342" s="14" t="str">
        <f>HYPERLINK("https://twitter.com/natalieharrower/status/1036557357495590912","1036557357495590912")</f>
        <v>1036557357495590912</v>
      </c>
      <c r="F342" s="15"/>
      <c r="G342" s="16" t="s">
        <v>892</v>
      </c>
      <c r="H342" s="15"/>
      <c r="I342" s="17">
        <v>1</v>
      </c>
      <c r="J342" s="17">
        <v>5</v>
      </c>
      <c r="K342" s="18" t="str">
        <f t="shared" si="83"/>
        <v>Twitter for iPhone</v>
      </c>
      <c r="L342" s="17">
        <v>2422</v>
      </c>
      <c r="M342" s="17">
        <v>2344</v>
      </c>
      <c r="N342" s="17">
        <v>164</v>
      </c>
      <c r="O342" s="19"/>
      <c r="P342" s="10">
        <v>39751.545844907407</v>
      </c>
      <c r="Q342" s="20" t="s">
        <v>61</v>
      </c>
      <c r="R342" s="21" t="s">
        <v>62</v>
      </c>
      <c r="S342" s="16" t="s">
        <v>63</v>
      </c>
      <c r="T342" s="15"/>
      <c r="U342" s="14" t="str">
        <f>HYPERLINK("https://pbs.twimg.com/profile_images/992918977172000769/pPUq69N4.jpg","View")</f>
        <v>View</v>
      </c>
    </row>
    <row r="343" spans="1:21" ht="20">
      <c r="A343" s="10">
        <v>43346.132962962962</v>
      </c>
      <c r="B343" s="11" t="str">
        <f>HYPERLINK("https://twitter.com/Sarah_DPC","@Sarah_DPC")</f>
        <v>@Sarah_DPC</v>
      </c>
      <c r="C343" s="12" t="s">
        <v>178</v>
      </c>
      <c r="D343" s="13" t="s">
        <v>893</v>
      </c>
      <c r="E343" s="14" t="str">
        <f>HYPERLINK("https://twitter.com/Sarah_DPC/status/1036557277971525632","1036557277971525632")</f>
        <v>1036557277971525632</v>
      </c>
      <c r="F343" s="15"/>
      <c r="G343" s="16" t="s">
        <v>894</v>
      </c>
      <c r="H343" s="15"/>
      <c r="I343" s="17">
        <v>3</v>
      </c>
      <c r="J343" s="17">
        <v>2</v>
      </c>
      <c r="K343" s="18" t="str">
        <f>HYPERLINK("http://twitter.com/download/android","Twitter for Android")</f>
        <v>Twitter for Android</v>
      </c>
      <c r="L343" s="17">
        <v>1270</v>
      </c>
      <c r="M343" s="17">
        <v>715</v>
      </c>
      <c r="N343" s="17">
        <v>51</v>
      </c>
      <c r="O343" s="19"/>
      <c r="P343" s="10">
        <v>41373.188576388886</v>
      </c>
      <c r="Q343" s="20" t="s">
        <v>180</v>
      </c>
      <c r="R343" s="21" t="s">
        <v>181</v>
      </c>
      <c r="S343" s="16" t="s">
        <v>182</v>
      </c>
      <c r="T343" s="15"/>
      <c r="U343" s="14" t="str">
        <f>HYPERLINK("https://pbs.twimg.com/profile_images/867263862726434816/K2qoO6sD.jpg","View")</f>
        <v>View</v>
      </c>
    </row>
    <row r="344" spans="1:21" ht="20">
      <c r="A344" s="10">
        <v>43346.132858796293</v>
      </c>
      <c r="B344" s="11" t="str">
        <f>HYPERLINK("https://twitter.com/traceym_tweets","@traceym_tweets")</f>
        <v>@traceym_tweets</v>
      </c>
      <c r="C344" s="12" t="s">
        <v>895</v>
      </c>
      <c r="D344" s="13" t="s">
        <v>896</v>
      </c>
      <c r="E344" s="14" t="str">
        <f>HYPERLINK("https://twitter.com/traceym_tweets/status/1036557243637002241","1036557243637002241")</f>
        <v>1036557243637002241</v>
      </c>
      <c r="F344" s="15"/>
      <c r="G344" s="15"/>
      <c r="H344" s="15"/>
      <c r="I344" s="17">
        <v>0</v>
      </c>
      <c r="J344" s="17">
        <v>2</v>
      </c>
      <c r="K344" s="18" t="str">
        <f>HYPERLINK("http://twitter.com/#!/download/ipad","Twitter for iPad")</f>
        <v>Twitter for iPad</v>
      </c>
      <c r="L344" s="17">
        <v>430</v>
      </c>
      <c r="M344" s="17">
        <v>1138</v>
      </c>
      <c r="N344" s="17">
        <v>7</v>
      </c>
      <c r="O344" s="19"/>
      <c r="P344" s="10">
        <v>40109.316747685181</v>
      </c>
      <c r="Q344" s="20" t="s">
        <v>307</v>
      </c>
      <c r="R344" s="21" t="s">
        <v>897</v>
      </c>
      <c r="S344" s="16" t="s">
        <v>898</v>
      </c>
      <c r="T344" s="15"/>
      <c r="U344" s="14" t="str">
        <f>HYPERLINK("https://pbs.twimg.com/profile_images/1036558844300812288/2njRPAQ0.jpg","View")</f>
        <v>View</v>
      </c>
    </row>
    <row r="345" spans="1:21" ht="40">
      <c r="A345" s="10">
        <v>43346.132696759261</v>
      </c>
      <c r="B345" s="11" t="str">
        <f>HYPERLINK("https://twitter.com/rosieweetch","@rosieweetch")</f>
        <v>@rosieweetch</v>
      </c>
      <c r="C345" s="12" t="s">
        <v>899</v>
      </c>
      <c r="D345" s="13" t="s">
        <v>900</v>
      </c>
      <c r="E345" s="14" t="str">
        <f>HYPERLINK("https://twitter.com/rosieweetch/status/1036557183901679616","1036557183901679616")</f>
        <v>1036557183901679616</v>
      </c>
      <c r="F345" s="15"/>
      <c r="G345" s="16" t="s">
        <v>901</v>
      </c>
      <c r="H345" s="15"/>
      <c r="I345" s="17">
        <v>8</v>
      </c>
      <c r="J345" s="17">
        <v>10</v>
      </c>
      <c r="K345" s="18" t="str">
        <f t="shared" ref="K345:K346" si="84">HYPERLINK("http://twitter.com/download/android","Twitter for Android")</f>
        <v>Twitter for Android</v>
      </c>
      <c r="L345" s="17">
        <v>3013</v>
      </c>
      <c r="M345" s="17">
        <v>951</v>
      </c>
      <c r="N345" s="17">
        <v>84</v>
      </c>
      <c r="O345" s="19"/>
      <c r="P345" s="10">
        <v>39421.094629629632</v>
      </c>
      <c r="Q345" s="20" t="s">
        <v>56</v>
      </c>
      <c r="R345" s="21" t="s">
        <v>902</v>
      </c>
      <c r="S345" s="16" t="s">
        <v>903</v>
      </c>
      <c r="T345" s="15"/>
      <c r="U345" s="14" t="str">
        <f>HYPERLINK("https://pbs.twimg.com/profile_images/1019896272948523009/QMIA2OoR.jpg","View")</f>
        <v>View</v>
      </c>
    </row>
    <row r="346" spans="1:21" ht="40">
      <c r="A346" s="10">
        <v>43346.132534722223</v>
      </c>
      <c r="B346" s="11" t="str">
        <f>HYPERLINK("https://twitter.com/CriticalSteph","@CriticalSteph")</f>
        <v>@CriticalSteph</v>
      </c>
      <c r="C346" s="12" t="s">
        <v>209</v>
      </c>
      <c r="D346" s="13" t="s">
        <v>904</v>
      </c>
      <c r="E346" s="14" t="str">
        <f>HYPERLINK("https://twitter.com/CriticalSteph/status/1036557126007762945","1036557126007762945")</f>
        <v>1036557126007762945</v>
      </c>
      <c r="F346" s="15"/>
      <c r="G346" s="15"/>
      <c r="H346" s="15"/>
      <c r="I346" s="17">
        <v>5</v>
      </c>
      <c r="J346" s="17">
        <v>20</v>
      </c>
      <c r="K346" s="18" t="str">
        <f t="shared" si="84"/>
        <v>Twitter for Android</v>
      </c>
      <c r="L346" s="17">
        <v>2083</v>
      </c>
      <c r="M346" s="17">
        <v>2189</v>
      </c>
      <c r="N346" s="17">
        <v>140</v>
      </c>
      <c r="O346" s="19"/>
      <c r="P346" s="10">
        <v>39853.082071759258</v>
      </c>
      <c r="Q346" s="20" t="s">
        <v>211</v>
      </c>
      <c r="R346" s="21" t="s">
        <v>212</v>
      </c>
      <c r="S346" s="16" t="s">
        <v>213</v>
      </c>
      <c r="T346" s="15"/>
      <c r="U346" s="14" t="str">
        <f>HYPERLINK("https://pbs.twimg.com/profile_images/619416622705414144/2Tyn4jkC.png","View")</f>
        <v>View</v>
      </c>
    </row>
    <row r="347" spans="1:21" ht="50">
      <c r="A347" s="10">
        <v>43346.132210648153</v>
      </c>
      <c r="B347" s="11" t="str">
        <f>HYPERLINK("https://twitter.com/paulakeogh","@paulakeogh")</f>
        <v>@paulakeogh</v>
      </c>
      <c r="C347" s="12" t="s">
        <v>658</v>
      </c>
      <c r="D347" s="13" t="s">
        <v>905</v>
      </c>
      <c r="E347" s="14" t="str">
        <f>HYPERLINK("https://twitter.com/paulakeogh/status/1036557005761196032","1036557005761196032")</f>
        <v>1036557005761196032</v>
      </c>
      <c r="F347" s="15"/>
      <c r="G347" s="15"/>
      <c r="H347" s="15"/>
      <c r="I347" s="17">
        <v>3</v>
      </c>
      <c r="J347" s="17">
        <v>5</v>
      </c>
      <c r="K347" s="18" t="str">
        <f>HYPERLINK("http://twitter.com/#!/download/ipad","Twitter for iPad")</f>
        <v>Twitter for iPad</v>
      </c>
      <c r="L347" s="17">
        <v>404</v>
      </c>
      <c r="M347" s="17">
        <v>557</v>
      </c>
      <c r="N347" s="17">
        <v>32</v>
      </c>
      <c r="O347" s="19"/>
      <c r="P347" s="10">
        <v>39854.575243055559</v>
      </c>
      <c r="Q347" s="20" t="s">
        <v>661</v>
      </c>
      <c r="R347" s="21" t="s">
        <v>662</v>
      </c>
      <c r="S347" s="16" t="s">
        <v>663</v>
      </c>
      <c r="T347" s="15"/>
      <c r="U347" s="14" t="str">
        <f>HYPERLINK("https://pbs.twimg.com/profile_images/932908395237183488/ZK6vDync.jpg","View")</f>
        <v>View</v>
      </c>
    </row>
    <row r="348" spans="1:21" ht="50">
      <c r="A348" s="10">
        <v>43346.131898148145</v>
      </c>
      <c r="B348" s="11" t="str">
        <f>HYPERLINK("https://twitter.com/natalieharrower","@natalieharrower")</f>
        <v>@natalieharrower</v>
      </c>
      <c r="C348" s="12" t="s">
        <v>59</v>
      </c>
      <c r="D348" s="13" t="s">
        <v>906</v>
      </c>
      <c r="E348" s="14" t="str">
        <f>HYPERLINK("https://twitter.com/natalieharrower/status/1036556893928542208","1036556893928542208")</f>
        <v>1036556893928542208</v>
      </c>
      <c r="F348" s="16" t="s">
        <v>907</v>
      </c>
      <c r="G348" s="15"/>
      <c r="H348" s="15"/>
      <c r="I348" s="17">
        <v>29</v>
      </c>
      <c r="J348" s="17">
        <v>66</v>
      </c>
      <c r="K348" s="18" t="str">
        <f>HYPERLINK("http://twitter.com","Twitter Web Client")</f>
        <v>Twitter Web Client</v>
      </c>
      <c r="L348" s="17">
        <v>2422</v>
      </c>
      <c r="M348" s="17">
        <v>2344</v>
      </c>
      <c r="N348" s="17">
        <v>164</v>
      </c>
      <c r="O348" s="19"/>
      <c r="P348" s="10">
        <v>39751.545844907407</v>
      </c>
      <c r="Q348" s="20" t="s">
        <v>61</v>
      </c>
      <c r="R348" s="21" t="s">
        <v>62</v>
      </c>
      <c r="S348" s="16" t="s">
        <v>63</v>
      </c>
      <c r="T348" s="15"/>
      <c r="U348" s="14" t="str">
        <f>HYPERLINK("https://pbs.twimg.com/profile_images/992918977172000769/pPUq69N4.jpg","View")</f>
        <v>View</v>
      </c>
    </row>
    <row r="349" spans="1:21" ht="40">
      <c r="A349" s="10">
        <v>43346.131886574076</v>
      </c>
      <c r="B349" s="11" t="str">
        <f>HYPERLINK("https://twitter.com/JoePadfield","@JoePadfield")</f>
        <v>@JoePadfield</v>
      </c>
      <c r="C349" s="12" t="s">
        <v>323</v>
      </c>
      <c r="D349" s="13" t="s">
        <v>908</v>
      </c>
      <c r="E349" s="14" t="str">
        <f>HYPERLINK("https://twitter.com/JoePadfield/status/1036556891881713665","1036556891881713665")</f>
        <v>1036556891881713665</v>
      </c>
      <c r="F349" s="15"/>
      <c r="G349" s="15"/>
      <c r="H349" s="15"/>
      <c r="I349" s="17">
        <v>2</v>
      </c>
      <c r="J349" s="17">
        <v>2</v>
      </c>
      <c r="K349" s="18" t="str">
        <f t="shared" ref="K349:K350" si="85">HYPERLINK("http://twitter.com/download/android","Twitter for Android")</f>
        <v>Twitter for Android</v>
      </c>
      <c r="L349" s="17">
        <v>1094</v>
      </c>
      <c r="M349" s="17">
        <v>543</v>
      </c>
      <c r="N349" s="17">
        <v>64</v>
      </c>
      <c r="O349" s="19"/>
      <c r="P349" s="10">
        <v>39877.535543981481</v>
      </c>
      <c r="Q349" s="20" t="s">
        <v>56</v>
      </c>
      <c r="R349" s="21" t="s">
        <v>325</v>
      </c>
      <c r="S349" s="16" t="s">
        <v>326</v>
      </c>
      <c r="T349" s="15"/>
      <c r="U349" s="14" t="str">
        <f>HYPERLINK("https://pbs.twimg.com/profile_images/1010189169841328128/aFZtk4bf.jpg","View")</f>
        <v>View</v>
      </c>
    </row>
    <row r="350" spans="1:21" ht="40">
      <c r="A350" s="10">
        <v>43346.131412037037</v>
      </c>
      <c r="B350" s="11" t="str">
        <f>HYPERLINK("https://twitter.com/ElleFayeClarke","@ElleFayeClarke")</f>
        <v>@ElleFayeClarke</v>
      </c>
      <c r="C350" s="12" t="s">
        <v>787</v>
      </c>
      <c r="D350" s="13" t="s">
        <v>909</v>
      </c>
      <c r="E350" s="14" t="str">
        <f>HYPERLINK("https://twitter.com/ElleFayeClarke/status/1036556717738352640","1036556717738352640")</f>
        <v>1036556717738352640</v>
      </c>
      <c r="F350" s="15"/>
      <c r="G350" s="16" t="s">
        <v>910</v>
      </c>
      <c r="H350" s="15"/>
      <c r="I350" s="17">
        <v>0</v>
      </c>
      <c r="J350" s="17">
        <v>2</v>
      </c>
      <c r="K350" s="18" t="str">
        <f t="shared" si="85"/>
        <v>Twitter for Android</v>
      </c>
      <c r="L350" s="17">
        <v>19</v>
      </c>
      <c r="M350" s="17">
        <v>77</v>
      </c>
      <c r="N350" s="17">
        <v>0</v>
      </c>
      <c r="O350" s="19"/>
      <c r="P350" s="10">
        <v>42965.272569444445</v>
      </c>
      <c r="Q350" s="20" t="s">
        <v>789</v>
      </c>
      <c r="R350" s="21" t="s">
        <v>790</v>
      </c>
      <c r="S350" s="15"/>
      <c r="T350" s="15"/>
      <c r="U350" s="14" t="str">
        <f>HYPERLINK("https://pbs.twimg.com/profile_images/955748822579335168/p7ti-nX7.jpg","View")</f>
        <v>View</v>
      </c>
    </row>
    <row r="351" spans="1:21" ht="30">
      <c r="A351" s="10">
        <v>43346.131331018521</v>
      </c>
      <c r="B351" s="11" t="str">
        <f>HYPERLINK("https://twitter.com/ariasmariap","@ariasmariap")</f>
        <v>@ariasmariap</v>
      </c>
      <c r="C351" s="12" t="s">
        <v>78</v>
      </c>
      <c r="D351" s="13" t="s">
        <v>911</v>
      </c>
      <c r="E351" s="14" t="str">
        <f>HYPERLINK("https://twitter.com/ariasmariap/status/1036556689712050176","1036556689712050176")</f>
        <v>1036556689712050176</v>
      </c>
      <c r="F351" s="15"/>
      <c r="G351" s="16" t="s">
        <v>912</v>
      </c>
      <c r="H351" s="15"/>
      <c r="I351" s="17">
        <v>1</v>
      </c>
      <c r="J351" s="17">
        <v>2</v>
      </c>
      <c r="K351" s="18" t="str">
        <f t="shared" ref="K351:K352" si="86">HYPERLINK("http://twitter.com/download/iphone","Twitter for iPhone")</f>
        <v>Twitter for iPhone</v>
      </c>
      <c r="L351" s="17">
        <v>701</v>
      </c>
      <c r="M351" s="17">
        <v>1482</v>
      </c>
      <c r="N351" s="17">
        <v>30</v>
      </c>
      <c r="O351" s="19"/>
      <c r="P351" s="10">
        <v>40598.646608796298</v>
      </c>
      <c r="Q351" s="20" t="s">
        <v>69</v>
      </c>
      <c r="R351" s="21" t="s">
        <v>81</v>
      </c>
      <c r="S351" s="16" t="s">
        <v>82</v>
      </c>
      <c r="T351" s="15"/>
      <c r="U351" s="14" t="str">
        <f>HYPERLINK("https://pbs.twimg.com/profile_images/960267047631491074/kA0rW9c9.jpg","View")</f>
        <v>View</v>
      </c>
    </row>
    <row r="352" spans="1:21" ht="20">
      <c r="A352" s="10">
        <v>43346.131064814814</v>
      </c>
      <c r="B352" s="11" t="str">
        <f>HYPERLINK("https://twitter.com/estherandhorses","@estherandhorses")</f>
        <v>@estherandhorses</v>
      </c>
      <c r="C352" s="12" t="s">
        <v>913</v>
      </c>
      <c r="D352" s="13" t="s">
        <v>914</v>
      </c>
      <c r="E352" s="14" t="str">
        <f>HYPERLINK("https://twitter.com/estherandhorses/status/1036556591351427072","1036556591351427072")</f>
        <v>1036556591351427072</v>
      </c>
      <c r="F352" s="15"/>
      <c r="G352" s="16" t="s">
        <v>915</v>
      </c>
      <c r="H352" s="15"/>
      <c r="I352" s="17">
        <v>3</v>
      </c>
      <c r="J352" s="17">
        <v>5</v>
      </c>
      <c r="K352" s="18" t="str">
        <f t="shared" si="86"/>
        <v>Twitter for iPhone</v>
      </c>
      <c r="L352" s="17">
        <v>389</v>
      </c>
      <c r="M352" s="17">
        <v>262</v>
      </c>
      <c r="N352" s="17">
        <v>18</v>
      </c>
      <c r="O352" s="19"/>
      <c r="P352" s="10">
        <v>39994.525462962964</v>
      </c>
      <c r="Q352" s="20" t="s">
        <v>916</v>
      </c>
      <c r="R352" s="21" t="s">
        <v>917</v>
      </c>
      <c r="S352" s="15"/>
      <c r="T352" s="15"/>
      <c r="U352" s="14" t="str">
        <f>HYPERLINK("https://pbs.twimg.com/profile_images/1022248982649741312/8adEwj8I.jpg","View")</f>
        <v>View</v>
      </c>
    </row>
    <row r="353" spans="1:21" ht="20">
      <c r="A353" s="10">
        <v>43346.13082175926</v>
      </c>
      <c r="B353" s="11" t="str">
        <f>HYPERLINK("https://twitter.com/Sarah_DPC","@Sarah_DPC")</f>
        <v>@Sarah_DPC</v>
      </c>
      <c r="C353" s="12" t="s">
        <v>178</v>
      </c>
      <c r="D353" s="13" t="s">
        <v>918</v>
      </c>
      <c r="E353" s="14" t="str">
        <f>HYPERLINK("https://twitter.com/Sarah_DPC/status/1036556504768421888","1036556504768421888")</f>
        <v>1036556504768421888</v>
      </c>
      <c r="F353" s="15"/>
      <c r="G353" s="15"/>
      <c r="H353" s="15"/>
      <c r="I353" s="17">
        <v>0</v>
      </c>
      <c r="J353" s="17">
        <v>3</v>
      </c>
      <c r="K353" s="18" t="str">
        <f t="shared" ref="K353:K355" si="87">HYPERLINK("http://twitter.com/download/android","Twitter for Android")</f>
        <v>Twitter for Android</v>
      </c>
      <c r="L353" s="17">
        <v>1270</v>
      </c>
      <c r="M353" s="17">
        <v>715</v>
      </c>
      <c r="N353" s="17">
        <v>51</v>
      </c>
      <c r="O353" s="19"/>
      <c r="P353" s="10">
        <v>41373.188576388886</v>
      </c>
      <c r="Q353" s="20" t="s">
        <v>180</v>
      </c>
      <c r="R353" s="21" t="s">
        <v>181</v>
      </c>
      <c r="S353" s="16" t="s">
        <v>182</v>
      </c>
      <c r="T353" s="15"/>
      <c r="U353" s="14" t="str">
        <f>HYPERLINK("https://pbs.twimg.com/profile_images/867263862726434816/K2qoO6sD.jpg","View")</f>
        <v>View</v>
      </c>
    </row>
    <row r="354" spans="1:21" ht="12.5">
      <c r="A354" s="10">
        <v>43346.130023148144</v>
      </c>
      <c r="B354" s="11" t="str">
        <f>HYPERLINK("https://twitter.com/zenlan","@zenlan")</f>
        <v>@zenlan</v>
      </c>
      <c r="C354" s="12" t="s">
        <v>919</v>
      </c>
      <c r="D354" s="13" t="s">
        <v>920</v>
      </c>
      <c r="E354" s="14" t="str">
        <f>HYPERLINK("https://twitter.com/zenlan/status/1036556212949708800","1036556212949708800")</f>
        <v>1036556212949708800</v>
      </c>
      <c r="F354" s="16" t="s">
        <v>921</v>
      </c>
      <c r="G354" s="15"/>
      <c r="H354" s="15"/>
      <c r="I354" s="17">
        <v>0</v>
      </c>
      <c r="J354" s="17">
        <v>0</v>
      </c>
      <c r="K354" s="18" t="str">
        <f t="shared" si="87"/>
        <v>Twitter for Android</v>
      </c>
      <c r="L354" s="17">
        <v>341</v>
      </c>
      <c r="M354" s="17">
        <v>708</v>
      </c>
      <c r="N354" s="17">
        <v>15</v>
      </c>
      <c r="O354" s="19"/>
      <c r="P354" s="10">
        <v>39785.49055555556</v>
      </c>
      <c r="Q354" s="20" t="s">
        <v>56</v>
      </c>
      <c r="R354" s="21" t="s">
        <v>922</v>
      </c>
      <c r="S354" s="16" t="s">
        <v>923</v>
      </c>
      <c r="T354" s="15"/>
      <c r="U354" s="14" t="str">
        <f>HYPERLINK("https://pbs.twimg.com/profile_images/66241511/hyp-black.jpg","View")</f>
        <v>View</v>
      </c>
    </row>
    <row r="355" spans="1:21" ht="20">
      <c r="A355" s="10">
        <v>43346.129398148143</v>
      </c>
      <c r="B355" s="11" t="str">
        <f>HYPERLINK("https://twitter.com/Sarah_DPC","@Sarah_DPC")</f>
        <v>@Sarah_DPC</v>
      </c>
      <c r="C355" s="12" t="s">
        <v>178</v>
      </c>
      <c r="D355" s="13" t="s">
        <v>924</v>
      </c>
      <c r="E355" s="14" t="str">
        <f>HYPERLINK("https://twitter.com/Sarah_DPC/status/1036555986285330432","1036555986285330432")</f>
        <v>1036555986285330432</v>
      </c>
      <c r="F355" s="15"/>
      <c r="G355" s="15"/>
      <c r="H355" s="15"/>
      <c r="I355" s="17">
        <v>2</v>
      </c>
      <c r="J355" s="17">
        <v>3</v>
      </c>
      <c r="K355" s="18" t="str">
        <f t="shared" si="87"/>
        <v>Twitter for Android</v>
      </c>
      <c r="L355" s="17">
        <v>1270</v>
      </c>
      <c r="M355" s="17">
        <v>715</v>
      </c>
      <c r="N355" s="17">
        <v>51</v>
      </c>
      <c r="O355" s="19"/>
      <c r="P355" s="10">
        <v>41373.188576388886</v>
      </c>
      <c r="Q355" s="20" t="s">
        <v>180</v>
      </c>
      <c r="R355" s="21" t="s">
        <v>181</v>
      </c>
      <c r="S355" s="16" t="s">
        <v>182</v>
      </c>
      <c r="T355" s="15"/>
      <c r="U355" s="14" t="str">
        <f>HYPERLINK("https://pbs.twimg.com/profile_images/867263862726434816/K2qoO6sD.jpg","View")</f>
        <v>View</v>
      </c>
    </row>
    <row r="356" spans="1:21" ht="40">
      <c r="A356" s="10">
        <v>43346.129386574074</v>
      </c>
      <c r="B356" s="11" t="str">
        <f>HYPERLINK("https://twitter.com/natalieharrower","@natalieharrower")</f>
        <v>@natalieharrower</v>
      </c>
      <c r="C356" s="12" t="s">
        <v>59</v>
      </c>
      <c r="D356" s="13" t="s">
        <v>925</v>
      </c>
      <c r="E356" s="14" t="str">
        <f>HYPERLINK("https://twitter.com/natalieharrower/status/1036555985136115712","1036555985136115712")</f>
        <v>1036555985136115712</v>
      </c>
      <c r="F356" s="15"/>
      <c r="G356" s="15"/>
      <c r="H356" s="15"/>
      <c r="I356" s="17">
        <v>0</v>
      </c>
      <c r="J356" s="17">
        <v>11</v>
      </c>
      <c r="K356" s="18" t="str">
        <f>HYPERLINK("http://twitter.com","Twitter Web Client")</f>
        <v>Twitter Web Client</v>
      </c>
      <c r="L356" s="17">
        <v>2422</v>
      </c>
      <c r="M356" s="17">
        <v>2344</v>
      </c>
      <c r="N356" s="17">
        <v>164</v>
      </c>
      <c r="O356" s="19"/>
      <c r="P356" s="10">
        <v>39751.545844907407</v>
      </c>
      <c r="Q356" s="20" t="s">
        <v>61</v>
      </c>
      <c r="R356" s="21" t="s">
        <v>62</v>
      </c>
      <c r="S356" s="16" t="s">
        <v>63</v>
      </c>
      <c r="T356" s="15"/>
      <c r="U356" s="14" t="str">
        <f>HYPERLINK("https://pbs.twimg.com/profile_images/992918977172000769/pPUq69N4.jpg","View")</f>
        <v>View</v>
      </c>
    </row>
    <row r="357" spans="1:21" ht="40">
      <c r="A357" s="10">
        <v>43346.128680555557</v>
      </c>
      <c r="B357" s="11" t="str">
        <f>HYPERLINK("https://twitter.com/JoePadfield","@JoePadfield")</f>
        <v>@JoePadfield</v>
      </c>
      <c r="C357" s="12" t="s">
        <v>323</v>
      </c>
      <c r="D357" s="13" t="s">
        <v>926</v>
      </c>
      <c r="E357" s="14" t="str">
        <f>HYPERLINK("https://twitter.com/JoePadfield/status/1036555727865823233","1036555727865823233")</f>
        <v>1036555727865823233</v>
      </c>
      <c r="F357" s="15"/>
      <c r="G357" s="15"/>
      <c r="H357" s="15"/>
      <c r="I357" s="17">
        <v>0</v>
      </c>
      <c r="J357" s="17">
        <v>0</v>
      </c>
      <c r="K357" s="18" t="str">
        <f>HYPERLINK("http://twitter.com/download/android","Twitter for Android")</f>
        <v>Twitter for Android</v>
      </c>
      <c r="L357" s="17">
        <v>1094</v>
      </c>
      <c r="M357" s="17">
        <v>543</v>
      </c>
      <c r="N357" s="17">
        <v>64</v>
      </c>
      <c r="O357" s="19"/>
      <c r="P357" s="10">
        <v>39877.535543981481</v>
      </c>
      <c r="Q357" s="20" t="s">
        <v>56</v>
      </c>
      <c r="R357" s="21" t="s">
        <v>325</v>
      </c>
      <c r="S357" s="16" t="s">
        <v>326</v>
      </c>
      <c r="T357" s="15"/>
      <c r="U357" s="14" t="str">
        <f>HYPERLINK("https://pbs.twimg.com/profile_images/1010189169841328128/aFZtk4bf.jpg","View")</f>
        <v>View</v>
      </c>
    </row>
    <row r="358" spans="1:21" ht="30">
      <c r="A358" s="10">
        <v>43346.128136574072</v>
      </c>
      <c r="B358" s="11" t="str">
        <f>HYPERLINK("https://twitter.com/paulstewart90","@paulstewart90")</f>
        <v>@paulstewart90</v>
      </c>
      <c r="C358" s="12" t="s">
        <v>606</v>
      </c>
      <c r="D358" s="13" t="s">
        <v>927</v>
      </c>
      <c r="E358" s="14" t="str">
        <f>HYPERLINK("https://twitter.com/paulstewart90/status/1036555531815735296","1036555531815735296")</f>
        <v>1036555531815735296</v>
      </c>
      <c r="F358" s="15"/>
      <c r="G358" s="16" t="s">
        <v>928</v>
      </c>
      <c r="H358" s="15"/>
      <c r="I358" s="17">
        <v>1</v>
      </c>
      <c r="J358" s="17">
        <v>2</v>
      </c>
      <c r="K358" s="18" t="str">
        <f>HYPERLINK("http://twitter.com/download/iphone","Twitter for iPhone")</f>
        <v>Twitter for iPhone</v>
      </c>
      <c r="L358" s="17">
        <v>185</v>
      </c>
      <c r="M358" s="17">
        <v>294</v>
      </c>
      <c r="N358" s="17">
        <v>12</v>
      </c>
      <c r="O358" s="19"/>
      <c r="P358" s="10">
        <v>39989.485231481478</v>
      </c>
      <c r="Q358" s="20" t="s">
        <v>56</v>
      </c>
      <c r="R358" s="21" t="s">
        <v>608</v>
      </c>
      <c r="S358" s="16" t="s">
        <v>609</v>
      </c>
      <c r="T358" s="15"/>
      <c r="U358" s="14" t="str">
        <f>HYPERLINK("https://pbs.twimg.com/profile_images/691943262853144577/lljEOJ4W.png","View")</f>
        <v>View</v>
      </c>
    </row>
    <row r="359" spans="1:21" ht="30">
      <c r="A359" s="10">
        <v>43346.127928240741</v>
      </c>
      <c r="B359" s="11" t="str">
        <f>HYPERLINK("https://twitter.com/Sarah_DPC","@Sarah_DPC")</f>
        <v>@Sarah_DPC</v>
      </c>
      <c r="C359" s="12" t="s">
        <v>178</v>
      </c>
      <c r="D359" s="13" t="s">
        <v>929</v>
      </c>
      <c r="E359" s="14" t="str">
        <f>HYPERLINK("https://twitter.com/Sarah_DPC/status/1036555455626141697","1036555455626141697")</f>
        <v>1036555455626141697</v>
      </c>
      <c r="F359" s="15"/>
      <c r="G359" s="15"/>
      <c r="H359" s="15"/>
      <c r="I359" s="17">
        <v>0</v>
      </c>
      <c r="J359" s="17">
        <v>0</v>
      </c>
      <c r="K359" s="18" t="str">
        <f>HYPERLINK("http://twitter.com/download/android","Twitter for Android")</f>
        <v>Twitter for Android</v>
      </c>
      <c r="L359" s="17">
        <v>1270</v>
      </c>
      <c r="M359" s="17">
        <v>715</v>
      </c>
      <c r="N359" s="17">
        <v>51</v>
      </c>
      <c r="O359" s="19"/>
      <c r="P359" s="10">
        <v>41373.188576388886</v>
      </c>
      <c r="Q359" s="20" t="s">
        <v>180</v>
      </c>
      <c r="R359" s="21" t="s">
        <v>181</v>
      </c>
      <c r="S359" s="16" t="s">
        <v>182</v>
      </c>
      <c r="T359" s="15"/>
      <c r="U359" s="14" t="str">
        <f>HYPERLINK("https://pbs.twimg.com/profile_images/867263862726434816/K2qoO6sD.jpg","View")</f>
        <v>View</v>
      </c>
    </row>
    <row r="360" spans="1:21" ht="30">
      <c r="A360" s="10">
        <v>43346.127418981487</v>
      </c>
      <c r="B360" s="11" t="str">
        <f>HYPERLINK("https://twitter.com/MuseumEALife","@MuseumEALife")</f>
        <v>@MuseumEALife</v>
      </c>
      <c r="C360" s="12" t="s">
        <v>930</v>
      </c>
      <c r="D360" s="13" t="s">
        <v>931</v>
      </c>
      <c r="E360" s="14" t="str">
        <f>HYPERLINK("https://twitter.com/MuseumEALife/status/1036555270032433152","1036555270032433152")</f>
        <v>1036555270032433152</v>
      </c>
      <c r="F360" s="16" t="s">
        <v>932</v>
      </c>
      <c r="G360" s="15"/>
      <c r="H360" s="15"/>
      <c r="I360" s="17">
        <v>2</v>
      </c>
      <c r="J360" s="17">
        <v>5</v>
      </c>
      <c r="K360" s="18" t="str">
        <f t="shared" ref="K360:K361" si="88">HYPERLINK("http://twitter.com","Twitter Web Client")</f>
        <v>Twitter Web Client</v>
      </c>
      <c r="L360" s="17">
        <v>6168</v>
      </c>
      <c r="M360" s="17">
        <v>5375</v>
      </c>
      <c r="N360" s="17">
        <v>174</v>
      </c>
      <c r="O360" s="19"/>
      <c r="P360" s="10">
        <v>40211.344583333332</v>
      </c>
      <c r="Q360" s="20" t="s">
        <v>933</v>
      </c>
      <c r="R360" s="21" t="s">
        <v>934</v>
      </c>
      <c r="S360" s="16" t="s">
        <v>431</v>
      </c>
      <c r="T360" s="15"/>
      <c r="U360" s="14" t="str">
        <f>HYPERLINK("https://pbs.twimg.com/profile_images/673162423/DSC_0195.JPG","View")</f>
        <v>View</v>
      </c>
    </row>
    <row r="361" spans="1:21" ht="40">
      <c r="A361" s="10">
        <v>43346.127291666664</v>
      </c>
      <c r="B361" s="11" t="str">
        <f>HYPERLINK("https://twitter.com/natalieharrower","@natalieharrower")</f>
        <v>@natalieharrower</v>
      </c>
      <c r="C361" s="12" t="s">
        <v>59</v>
      </c>
      <c r="D361" s="13" t="s">
        <v>935</v>
      </c>
      <c r="E361" s="14" t="str">
        <f>HYPERLINK("https://twitter.com/natalieharrower/status/1036555226227064834","1036555226227064834")</f>
        <v>1036555226227064834</v>
      </c>
      <c r="F361" s="15"/>
      <c r="G361" s="15"/>
      <c r="H361" s="15"/>
      <c r="I361" s="17">
        <v>0</v>
      </c>
      <c r="J361" s="17">
        <v>0</v>
      </c>
      <c r="K361" s="18" t="str">
        <f t="shared" si="88"/>
        <v>Twitter Web Client</v>
      </c>
      <c r="L361" s="17">
        <v>2422</v>
      </c>
      <c r="M361" s="17">
        <v>2344</v>
      </c>
      <c r="N361" s="17">
        <v>164</v>
      </c>
      <c r="O361" s="19"/>
      <c r="P361" s="10">
        <v>39751.545844907407</v>
      </c>
      <c r="Q361" s="20" t="s">
        <v>61</v>
      </c>
      <c r="R361" s="21" t="s">
        <v>62</v>
      </c>
      <c r="S361" s="16" t="s">
        <v>63</v>
      </c>
      <c r="T361" s="15"/>
      <c r="U361" s="14" t="str">
        <f>HYPERLINK("https://pbs.twimg.com/profile_images/992918977172000769/pPUq69N4.jpg","View")</f>
        <v>View</v>
      </c>
    </row>
    <row r="362" spans="1:21" ht="20">
      <c r="A362" s="10">
        <v>43346.127118055556</v>
      </c>
      <c r="B362" s="11" t="str">
        <f>HYPERLINK("https://twitter.com/AKingLondon","@AKingLondon")</f>
        <v>@AKingLondon</v>
      </c>
      <c r="C362" s="12" t="s">
        <v>936</v>
      </c>
      <c r="D362" s="13" t="s">
        <v>937</v>
      </c>
      <c r="E362" s="14" t="str">
        <f>HYPERLINK("https://twitter.com/AKingLondon/status/1036555163044065280","1036555163044065280")</f>
        <v>1036555163044065280</v>
      </c>
      <c r="F362" s="15"/>
      <c r="G362" s="16" t="s">
        <v>938</v>
      </c>
      <c r="H362" s="15"/>
      <c r="I362" s="17">
        <v>0</v>
      </c>
      <c r="J362" s="17">
        <v>1</v>
      </c>
      <c r="K362" s="18" t="str">
        <f>HYPERLINK("http://www.apple.com","iOS")</f>
        <v>iOS</v>
      </c>
      <c r="L362" s="17">
        <v>262</v>
      </c>
      <c r="M362" s="17">
        <v>507</v>
      </c>
      <c r="N362" s="17">
        <v>3</v>
      </c>
      <c r="O362" s="19"/>
      <c r="P362" s="10">
        <v>42234.223796296297</v>
      </c>
      <c r="Q362" s="20" t="s">
        <v>939</v>
      </c>
      <c r="R362" s="21" t="s">
        <v>940</v>
      </c>
      <c r="S362" s="16" t="s">
        <v>941</v>
      </c>
      <c r="T362" s="15"/>
      <c r="U362" s="14" t="str">
        <f>HYPERLINK("https://pbs.twimg.com/profile_images/983300650305052674/F_8bJjNi.jpg","View")</f>
        <v>View</v>
      </c>
    </row>
    <row r="363" spans="1:21" ht="20">
      <c r="A363" s="10">
        <v>43346.126967592594</v>
      </c>
      <c r="B363" s="11" t="str">
        <f>HYPERLINK("https://twitter.com/Sarah_DPC","@Sarah_DPC")</f>
        <v>@Sarah_DPC</v>
      </c>
      <c r="C363" s="12" t="s">
        <v>178</v>
      </c>
      <c r="D363" s="13" t="s">
        <v>942</v>
      </c>
      <c r="E363" s="14" t="str">
        <f>HYPERLINK("https://twitter.com/Sarah_DPC/status/1036555105917648896","1036555105917648896")</f>
        <v>1036555105917648896</v>
      </c>
      <c r="F363" s="15"/>
      <c r="G363" s="15"/>
      <c r="H363" s="15"/>
      <c r="I363" s="17">
        <v>0</v>
      </c>
      <c r="J363" s="17">
        <v>0</v>
      </c>
      <c r="K363" s="18" t="str">
        <f>HYPERLINK("http://twitter.com/download/android","Twitter for Android")</f>
        <v>Twitter for Android</v>
      </c>
      <c r="L363" s="17">
        <v>1270</v>
      </c>
      <c r="M363" s="17">
        <v>715</v>
      </c>
      <c r="N363" s="17">
        <v>51</v>
      </c>
      <c r="O363" s="19"/>
      <c r="P363" s="10">
        <v>41373.188576388886</v>
      </c>
      <c r="Q363" s="20" t="s">
        <v>180</v>
      </c>
      <c r="R363" s="21" t="s">
        <v>181</v>
      </c>
      <c r="S363" s="16" t="s">
        <v>182</v>
      </c>
      <c r="T363" s="15"/>
      <c r="U363" s="14" t="str">
        <f>HYPERLINK("https://pbs.twimg.com/profile_images/867263862726434816/K2qoO6sD.jpg","View")</f>
        <v>View</v>
      </c>
    </row>
    <row r="364" spans="1:21" ht="40">
      <c r="A364" s="10">
        <v>43346.126909722225</v>
      </c>
      <c r="B364" s="11" t="str">
        <f>HYPERLINK("https://twitter.com/MariaEcoGl","@MariaEcoGl")</f>
        <v>@MariaEcoGl</v>
      </c>
      <c r="C364" s="12" t="s">
        <v>304</v>
      </c>
      <c r="D364" s="13" t="s">
        <v>943</v>
      </c>
      <c r="E364" s="14" t="str">
        <f>HYPERLINK("https://twitter.com/MariaEcoGl/status/1036555085369761792","1036555085369761792")</f>
        <v>1036555085369761792</v>
      </c>
      <c r="F364" s="15"/>
      <c r="G364" s="16" t="s">
        <v>944</v>
      </c>
      <c r="H364" s="15"/>
      <c r="I364" s="17">
        <v>1</v>
      </c>
      <c r="J364" s="17">
        <v>1</v>
      </c>
      <c r="K364" s="18" t="str">
        <f>HYPERLINK("http://twitter.com/download/iphone","Twitter for iPhone")</f>
        <v>Twitter for iPhone</v>
      </c>
      <c r="L364" s="17">
        <v>1479</v>
      </c>
      <c r="M364" s="17">
        <v>2085</v>
      </c>
      <c r="N364" s="17">
        <v>43</v>
      </c>
      <c r="O364" s="19"/>
      <c r="P364" s="10">
        <v>41611.245787037034</v>
      </c>
      <c r="Q364" s="20" t="s">
        <v>307</v>
      </c>
      <c r="R364" s="21" t="s">
        <v>308</v>
      </c>
      <c r="S364" s="16" t="s">
        <v>309</v>
      </c>
      <c r="T364" s="15"/>
      <c r="U364" s="14" t="str">
        <f>HYPERLINK("https://pbs.twimg.com/profile_images/600251605141692416/YeaqAIJB.png","View")</f>
        <v>View</v>
      </c>
    </row>
    <row r="365" spans="1:21" ht="30">
      <c r="A365" s="10">
        <v>43346.126273148147</v>
      </c>
      <c r="B365" s="11" t="str">
        <f>HYPERLINK("https://twitter.com/Sarah_DPC","@Sarah_DPC")</f>
        <v>@Sarah_DPC</v>
      </c>
      <c r="C365" s="12" t="s">
        <v>178</v>
      </c>
      <c r="D365" s="13" t="s">
        <v>945</v>
      </c>
      <c r="E365" s="14" t="str">
        <f>HYPERLINK("https://twitter.com/Sarah_DPC/status/1036554854821502977","1036554854821502977")</f>
        <v>1036554854821502977</v>
      </c>
      <c r="F365" s="15"/>
      <c r="G365" s="16" t="s">
        <v>946</v>
      </c>
      <c r="H365" s="15"/>
      <c r="I365" s="17">
        <v>1</v>
      </c>
      <c r="J365" s="17">
        <v>1</v>
      </c>
      <c r="K365" s="18" t="str">
        <f>HYPERLINK("http://twitter.com/download/android","Twitter for Android")</f>
        <v>Twitter for Android</v>
      </c>
      <c r="L365" s="17">
        <v>1270</v>
      </c>
      <c r="M365" s="17">
        <v>715</v>
      </c>
      <c r="N365" s="17">
        <v>51</v>
      </c>
      <c r="O365" s="19"/>
      <c r="P365" s="10">
        <v>41373.188576388886</v>
      </c>
      <c r="Q365" s="20" t="s">
        <v>180</v>
      </c>
      <c r="R365" s="21" t="s">
        <v>181</v>
      </c>
      <c r="S365" s="16" t="s">
        <v>182</v>
      </c>
      <c r="T365" s="15"/>
      <c r="U365" s="14" t="str">
        <f>HYPERLINK("https://pbs.twimg.com/profile_images/867263862726434816/K2qoO6sD.jpg","View")</f>
        <v>View</v>
      </c>
    </row>
    <row r="366" spans="1:21" ht="20">
      <c r="A366" s="10">
        <v>43346.126157407409</v>
      </c>
      <c r="B366" s="11" t="str">
        <f>HYPERLINK("https://twitter.com/ZofiaK","@ZofiaK")</f>
        <v>@ZofiaK</v>
      </c>
      <c r="C366" s="12" t="s">
        <v>947</v>
      </c>
      <c r="D366" s="13" t="s">
        <v>948</v>
      </c>
      <c r="E366" s="14" t="str">
        <f>HYPERLINK("https://twitter.com/ZofiaK/status/1036554813494972416","1036554813494972416")</f>
        <v>1036554813494972416</v>
      </c>
      <c r="F366" s="15"/>
      <c r="G366" s="16" t="s">
        <v>949</v>
      </c>
      <c r="H366" s="15"/>
      <c r="I366" s="17">
        <v>2</v>
      </c>
      <c r="J366" s="17">
        <v>4</v>
      </c>
      <c r="K366" s="18" t="str">
        <f>HYPERLINK("http://twitter.com/download/iphone","Twitter for iPhone")</f>
        <v>Twitter for iPhone</v>
      </c>
      <c r="L366" s="17">
        <v>317</v>
      </c>
      <c r="M366" s="17">
        <v>516</v>
      </c>
      <c r="N366" s="17">
        <v>8</v>
      </c>
      <c r="O366" s="19"/>
      <c r="P366" s="10">
        <v>39877.457418981481</v>
      </c>
      <c r="Q366" s="20" t="s">
        <v>950</v>
      </c>
      <c r="R366" s="21" t="s">
        <v>951</v>
      </c>
      <c r="S366" s="15"/>
      <c r="T366" s="15"/>
      <c r="U366" s="14" t="str">
        <f>HYPERLINK("https://pbs.twimg.com/profile_images/1007537837674237952/i6QoNhFi.jpg","View")</f>
        <v>View</v>
      </c>
    </row>
    <row r="367" spans="1:21" ht="30">
      <c r="A367" s="10">
        <v>43346.125925925924</v>
      </c>
      <c r="B367" s="11" t="str">
        <f>HYPERLINK("https://twitter.com/CUHerb","@CUHerb")</f>
        <v>@CUHerb</v>
      </c>
      <c r="C367" s="12" t="s">
        <v>819</v>
      </c>
      <c r="D367" s="13" t="s">
        <v>952</v>
      </c>
      <c r="E367" s="14" t="str">
        <f>HYPERLINK("https://twitter.com/CUHerb/status/1036554729395027968","1036554729395027968")</f>
        <v>1036554729395027968</v>
      </c>
      <c r="F367" s="15"/>
      <c r="G367" s="16" t="s">
        <v>953</v>
      </c>
      <c r="H367" s="15"/>
      <c r="I367" s="17">
        <v>0</v>
      </c>
      <c r="J367" s="17">
        <v>0</v>
      </c>
      <c r="K367" s="18" t="str">
        <f>HYPERLINK("https://mobile.twitter.com","Twitter Lite")</f>
        <v>Twitter Lite</v>
      </c>
      <c r="L367" s="17">
        <v>1265</v>
      </c>
      <c r="M367" s="17">
        <v>661</v>
      </c>
      <c r="N367" s="17">
        <v>21</v>
      </c>
      <c r="O367" s="19"/>
      <c r="P367" s="10">
        <v>42073.40662037037</v>
      </c>
      <c r="Q367" s="20" t="s">
        <v>822</v>
      </c>
      <c r="R367" s="21" t="s">
        <v>823</v>
      </c>
      <c r="S367" s="16" t="s">
        <v>824</v>
      </c>
      <c r="T367" s="15"/>
      <c r="U367" s="14" t="str">
        <f>HYPERLINK("https://pbs.twimg.com/profile_images/963078504773488640/YaSBrlJG.jpg","View")</f>
        <v>View</v>
      </c>
    </row>
    <row r="368" spans="1:21" ht="30">
      <c r="A368" s="10">
        <v>43346.125740740739</v>
      </c>
      <c r="B368" s="11" t="str">
        <f>HYPERLINK("https://twitter.com/arranjrees","@arranjrees")</f>
        <v>@arranjrees</v>
      </c>
      <c r="C368" s="12" t="s">
        <v>490</v>
      </c>
      <c r="D368" s="13" t="s">
        <v>954</v>
      </c>
      <c r="E368" s="14" t="str">
        <f>HYPERLINK("https://twitter.com/arranjrees/status/1036554660696547328","1036554660696547328")</f>
        <v>1036554660696547328</v>
      </c>
      <c r="F368" s="15"/>
      <c r="G368" s="15"/>
      <c r="H368" s="15"/>
      <c r="I368" s="17">
        <v>2</v>
      </c>
      <c r="J368" s="17">
        <v>7</v>
      </c>
      <c r="K368" s="18" t="str">
        <f>HYPERLINK("http://twitter.com/download/android","Twitter for Android")</f>
        <v>Twitter for Android</v>
      </c>
      <c r="L368" s="17">
        <v>1717</v>
      </c>
      <c r="M368" s="17">
        <v>929</v>
      </c>
      <c r="N368" s="17">
        <v>32</v>
      </c>
      <c r="O368" s="19"/>
      <c r="P368" s="10">
        <v>40550.554884259262</v>
      </c>
      <c r="Q368" s="20" t="s">
        <v>458</v>
      </c>
      <c r="R368" s="21" t="s">
        <v>493</v>
      </c>
      <c r="S368" s="16" t="s">
        <v>494</v>
      </c>
      <c r="T368" s="15"/>
      <c r="U368" s="14" t="str">
        <f>HYPERLINK("https://pbs.twimg.com/profile_images/1027536161080860673/iP5ROxDR.jpg","View")</f>
        <v>View</v>
      </c>
    </row>
    <row r="369" spans="1:21" ht="50">
      <c r="A369" s="10">
        <v>43346.125381944439</v>
      </c>
      <c r="B369" s="11" t="str">
        <f>HYPERLINK("https://twitter.com/natalieharrower","@natalieharrower")</f>
        <v>@natalieharrower</v>
      </c>
      <c r="C369" s="12" t="s">
        <v>59</v>
      </c>
      <c r="D369" s="13" t="s">
        <v>955</v>
      </c>
      <c r="E369" s="14" t="str">
        <f>HYPERLINK("https://twitter.com/natalieharrower/status/1036554533034442752","1036554533034442752")</f>
        <v>1036554533034442752</v>
      </c>
      <c r="F369" s="15"/>
      <c r="G369" s="15"/>
      <c r="H369" s="15"/>
      <c r="I369" s="17">
        <v>1</v>
      </c>
      <c r="J369" s="17">
        <v>6</v>
      </c>
      <c r="K369" s="18" t="str">
        <f>HYPERLINK("http://twitter.com","Twitter Web Client")</f>
        <v>Twitter Web Client</v>
      </c>
      <c r="L369" s="17">
        <v>2422</v>
      </c>
      <c r="M369" s="17">
        <v>2344</v>
      </c>
      <c r="N369" s="17">
        <v>164</v>
      </c>
      <c r="O369" s="19"/>
      <c r="P369" s="10">
        <v>39751.545844907407</v>
      </c>
      <c r="Q369" s="20" t="s">
        <v>61</v>
      </c>
      <c r="R369" s="21" t="s">
        <v>62</v>
      </c>
      <c r="S369" s="16" t="s">
        <v>63</v>
      </c>
      <c r="T369" s="15"/>
      <c r="U369" s="14" t="str">
        <f>HYPERLINK("https://pbs.twimg.com/profile_images/992918977172000769/pPUq69N4.jpg","View")</f>
        <v>View</v>
      </c>
    </row>
    <row r="370" spans="1:21" ht="30">
      <c r="A370" s="10">
        <v>43346.1253125</v>
      </c>
      <c r="B370" s="11" t="str">
        <f>HYPERLINK("https://twitter.com/CriticalSteph","@CriticalSteph")</f>
        <v>@CriticalSteph</v>
      </c>
      <c r="C370" s="12" t="s">
        <v>209</v>
      </c>
      <c r="D370" s="13" t="s">
        <v>956</v>
      </c>
      <c r="E370" s="14" t="str">
        <f>HYPERLINK("https://twitter.com/CriticalSteph/status/1036554507201785856","1036554507201785856")</f>
        <v>1036554507201785856</v>
      </c>
      <c r="F370" s="15"/>
      <c r="G370" s="15"/>
      <c r="H370" s="15"/>
      <c r="I370" s="17">
        <v>0</v>
      </c>
      <c r="J370" s="17">
        <v>2</v>
      </c>
      <c r="K370" s="18" t="str">
        <f>HYPERLINK("http://twitter.com/download/android","Twitter for Android")</f>
        <v>Twitter for Android</v>
      </c>
      <c r="L370" s="17">
        <v>2083</v>
      </c>
      <c r="M370" s="17">
        <v>2189</v>
      </c>
      <c r="N370" s="17">
        <v>140</v>
      </c>
      <c r="O370" s="19"/>
      <c r="P370" s="10">
        <v>39853.082071759258</v>
      </c>
      <c r="Q370" s="20" t="s">
        <v>211</v>
      </c>
      <c r="R370" s="21" t="s">
        <v>212</v>
      </c>
      <c r="S370" s="16" t="s">
        <v>213</v>
      </c>
      <c r="T370" s="15"/>
      <c r="U370" s="14" t="str">
        <f>HYPERLINK("https://pbs.twimg.com/profile_images/619416622705414144/2Tyn4jkC.png","View")</f>
        <v>View</v>
      </c>
    </row>
    <row r="371" spans="1:21" ht="30">
      <c r="A371" s="10">
        <v>43346.124479166669</v>
      </c>
      <c r="B371" s="11" t="str">
        <f>HYPERLINK("https://twitter.com/MacfRachel","@MacfRachel")</f>
        <v>@MacfRachel</v>
      </c>
      <c r="C371" s="12" t="s">
        <v>957</v>
      </c>
      <c r="D371" s="13" t="s">
        <v>958</v>
      </c>
      <c r="E371" s="14" t="str">
        <f>HYPERLINK("https://twitter.com/MacfRachel/status/1036554204750536704","1036554204750536704")</f>
        <v>1036554204750536704</v>
      </c>
      <c r="F371" s="15"/>
      <c r="G371" s="16" t="s">
        <v>959</v>
      </c>
      <c r="H371" s="15"/>
      <c r="I371" s="17">
        <v>3</v>
      </c>
      <c r="J371" s="17">
        <v>8</v>
      </c>
      <c r="K371" s="18" t="str">
        <f>HYPERLINK("http://twitter.com/download/iphone","Twitter for iPhone")</f>
        <v>Twitter for iPhone</v>
      </c>
      <c r="L371" s="17">
        <v>198</v>
      </c>
      <c r="M371" s="17">
        <v>298</v>
      </c>
      <c r="N371" s="17">
        <v>1</v>
      </c>
      <c r="O371" s="19"/>
      <c r="P371" s="10">
        <v>42250.522233796291</v>
      </c>
      <c r="Q371" s="15"/>
      <c r="R371" s="21" t="s">
        <v>960</v>
      </c>
      <c r="S371" s="15"/>
      <c r="T371" s="15"/>
      <c r="U371" s="14" t="str">
        <f>HYPERLINK("https://pbs.twimg.com/profile_images/909532338429861893/n06k8W82.jpg","View")</f>
        <v>View</v>
      </c>
    </row>
    <row r="372" spans="1:21" ht="30">
      <c r="A372" s="10">
        <v>43346.12427083333</v>
      </c>
      <c r="B372" s="11" t="str">
        <f>HYPERLINK("https://twitter.com/Sarah_DPC","@Sarah_DPC")</f>
        <v>@Sarah_DPC</v>
      </c>
      <c r="C372" s="12" t="s">
        <v>178</v>
      </c>
      <c r="D372" s="13" t="s">
        <v>961</v>
      </c>
      <c r="E372" s="14" t="str">
        <f>HYPERLINK("https://twitter.com/Sarah_DPC/status/1036554129882181632","1036554129882181632")</f>
        <v>1036554129882181632</v>
      </c>
      <c r="F372" s="15"/>
      <c r="G372" s="15"/>
      <c r="H372" s="15"/>
      <c r="I372" s="17">
        <v>2</v>
      </c>
      <c r="J372" s="17">
        <v>1</v>
      </c>
      <c r="K372" s="18" t="str">
        <f>HYPERLINK("http://twitter.com/download/android","Twitter for Android")</f>
        <v>Twitter for Android</v>
      </c>
      <c r="L372" s="17">
        <v>1270</v>
      </c>
      <c r="M372" s="17">
        <v>715</v>
      </c>
      <c r="N372" s="17">
        <v>51</v>
      </c>
      <c r="O372" s="19"/>
      <c r="P372" s="10">
        <v>41373.188576388886</v>
      </c>
      <c r="Q372" s="20" t="s">
        <v>180</v>
      </c>
      <c r="R372" s="21" t="s">
        <v>181</v>
      </c>
      <c r="S372" s="16" t="s">
        <v>182</v>
      </c>
      <c r="T372" s="15"/>
      <c r="U372" s="14" t="str">
        <f>HYPERLINK("https://pbs.twimg.com/profile_images/867263862726434816/K2qoO6sD.jpg","View")</f>
        <v>View</v>
      </c>
    </row>
    <row r="373" spans="1:21" ht="30">
      <c r="A373" s="10">
        <v>43346.124189814815</v>
      </c>
      <c r="B373" s="11" t="str">
        <f>HYPERLINK("https://twitter.com/WilliamKilbride","@WilliamKilbride")</f>
        <v>@WilliamKilbride</v>
      </c>
      <c r="C373" s="12" t="s">
        <v>49</v>
      </c>
      <c r="D373" s="13" t="s">
        <v>962</v>
      </c>
      <c r="E373" s="14" t="str">
        <f>HYPERLINK("https://twitter.com/WilliamKilbride/status/1036554100257775617","1036554100257775617")</f>
        <v>1036554100257775617</v>
      </c>
      <c r="F373" s="15"/>
      <c r="G373" s="15"/>
      <c r="H373" s="15"/>
      <c r="I373" s="17">
        <v>3</v>
      </c>
      <c r="J373" s="17">
        <v>5</v>
      </c>
      <c r="K373" s="18" t="str">
        <f>HYPERLINK("https://about.twitter.com/products/tweetdeck","TweetDeck")</f>
        <v>TweetDeck</v>
      </c>
      <c r="L373" s="17">
        <v>3065</v>
      </c>
      <c r="M373" s="17">
        <v>582</v>
      </c>
      <c r="N373" s="17">
        <v>180</v>
      </c>
      <c r="O373" s="19"/>
      <c r="P373" s="10">
        <v>39917.310949074075</v>
      </c>
      <c r="Q373" s="20" t="s">
        <v>51</v>
      </c>
      <c r="R373" s="21" t="s">
        <v>52</v>
      </c>
      <c r="S373" s="16" t="s">
        <v>53</v>
      </c>
      <c r="T373" s="15"/>
      <c r="U373" s="14" t="str">
        <f>HYPERLINK("https://pbs.twimg.com/profile_images/606802634499080192/ZWLKLGdh.png","View")</f>
        <v>View</v>
      </c>
    </row>
    <row r="374" spans="1:21" ht="40">
      <c r="A374" s="10">
        <v>43346.124027777776</v>
      </c>
      <c r="B374" s="11" t="str">
        <f>HYPERLINK("https://twitter.com/CriticalSteph","@CriticalSteph")</f>
        <v>@CriticalSteph</v>
      </c>
      <c r="C374" s="12" t="s">
        <v>209</v>
      </c>
      <c r="D374" s="13" t="s">
        <v>963</v>
      </c>
      <c r="E374" s="14" t="str">
        <f>HYPERLINK("https://twitter.com/CriticalSteph/status/1036554043664019456","1036554043664019456")</f>
        <v>1036554043664019456</v>
      </c>
      <c r="F374" s="15"/>
      <c r="G374" s="15"/>
      <c r="H374" s="15"/>
      <c r="I374" s="17">
        <v>1</v>
      </c>
      <c r="J374" s="17">
        <v>1</v>
      </c>
      <c r="K374" s="18" t="str">
        <f t="shared" ref="K374:K375" si="89">HYPERLINK("http://twitter.com/download/android","Twitter for Android")</f>
        <v>Twitter for Android</v>
      </c>
      <c r="L374" s="17">
        <v>2083</v>
      </c>
      <c r="M374" s="17">
        <v>2189</v>
      </c>
      <c r="N374" s="17">
        <v>140</v>
      </c>
      <c r="O374" s="19"/>
      <c r="P374" s="10">
        <v>39853.082071759258</v>
      </c>
      <c r="Q374" s="20" t="s">
        <v>211</v>
      </c>
      <c r="R374" s="21" t="s">
        <v>212</v>
      </c>
      <c r="S374" s="16" t="s">
        <v>213</v>
      </c>
      <c r="T374" s="15"/>
      <c r="U374" s="14" t="str">
        <f>HYPERLINK("https://pbs.twimg.com/profile_images/619416622705414144/2Tyn4jkC.png","View")</f>
        <v>View</v>
      </c>
    </row>
    <row r="375" spans="1:21" ht="30">
      <c r="A375" s="10">
        <v>43346.123356481483</v>
      </c>
      <c r="B375" s="11" t="str">
        <f>HYPERLINK("https://twitter.com/Sarah_DPC","@Sarah_DPC")</f>
        <v>@Sarah_DPC</v>
      </c>
      <c r="C375" s="12" t="s">
        <v>178</v>
      </c>
      <c r="D375" s="13" t="s">
        <v>964</v>
      </c>
      <c r="E375" s="14" t="str">
        <f>HYPERLINK("https://twitter.com/Sarah_DPC/status/1036553796787294208","1036553796787294208")</f>
        <v>1036553796787294208</v>
      </c>
      <c r="F375" s="15"/>
      <c r="G375" s="15"/>
      <c r="H375" s="15"/>
      <c r="I375" s="17">
        <v>1</v>
      </c>
      <c r="J375" s="17">
        <v>1</v>
      </c>
      <c r="K375" s="18" t="str">
        <f t="shared" si="89"/>
        <v>Twitter for Android</v>
      </c>
      <c r="L375" s="17">
        <v>1270</v>
      </c>
      <c r="M375" s="17">
        <v>715</v>
      </c>
      <c r="N375" s="17">
        <v>51</v>
      </c>
      <c r="O375" s="19"/>
      <c r="P375" s="10">
        <v>41373.188576388886</v>
      </c>
      <c r="Q375" s="20" t="s">
        <v>180</v>
      </c>
      <c r="R375" s="21" t="s">
        <v>181</v>
      </c>
      <c r="S375" s="16" t="s">
        <v>182</v>
      </c>
      <c r="T375" s="15"/>
      <c r="U375" s="14" t="str">
        <f>HYPERLINK("https://pbs.twimg.com/profile_images/867263862726434816/K2qoO6sD.jpg","View")</f>
        <v>View</v>
      </c>
    </row>
    <row r="376" spans="1:21" ht="50">
      <c r="A376" s="10">
        <v>43346.12332175926</v>
      </c>
      <c r="B376" s="11" t="str">
        <f>HYPERLINK("https://twitter.com/dri_ireland","@dri_ireland")</f>
        <v>@dri_ireland</v>
      </c>
      <c r="C376" s="12" t="s">
        <v>197</v>
      </c>
      <c r="D376" s="13" t="s">
        <v>965</v>
      </c>
      <c r="E376" s="14" t="str">
        <f>HYPERLINK("https://twitter.com/dri_ireland/status/1036553785961787393","1036553785961787393")</f>
        <v>1036553785961787393</v>
      </c>
      <c r="F376" s="20" t="s">
        <v>966</v>
      </c>
      <c r="G376" s="15"/>
      <c r="H376" s="15"/>
      <c r="I376" s="17">
        <v>2</v>
      </c>
      <c r="J376" s="17">
        <v>2</v>
      </c>
      <c r="K376" s="18" t="str">
        <f>HYPERLINK("http://twitter.com","Twitter Web Client")</f>
        <v>Twitter Web Client</v>
      </c>
      <c r="L376" s="17">
        <v>6134</v>
      </c>
      <c r="M376" s="17">
        <v>1732</v>
      </c>
      <c r="N376" s="17">
        <v>249</v>
      </c>
      <c r="O376" s="19"/>
      <c r="P376" s="10">
        <v>41172.215312500004</v>
      </c>
      <c r="Q376" s="20" t="s">
        <v>200</v>
      </c>
      <c r="R376" s="21" t="s">
        <v>201</v>
      </c>
      <c r="S376" s="16" t="s">
        <v>202</v>
      </c>
      <c r="T376" s="15"/>
      <c r="U376" s="14" t="str">
        <f>HYPERLINK("https://pbs.twimg.com/profile_images/603126975268581376/cGZW7aU3.jpg","View")</f>
        <v>View</v>
      </c>
    </row>
    <row r="377" spans="1:21" ht="30">
      <c r="A377" s="10">
        <v>43346.123020833329</v>
      </c>
      <c r="B377" s="11" t="str">
        <f>HYPERLINK("https://twitter.com/CriticalSteph","@CriticalSteph")</f>
        <v>@CriticalSteph</v>
      </c>
      <c r="C377" s="12" t="s">
        <v>209</v>
      </c>
      <c r="D377" s="13" t="s">
        <v>967</v>
      </c>
      <c r="E377" s="14" t="str">
        <f>HYPERLINK("https://twitter.com/CriticalSteph/status/1036553677027336192","1036553677027336192")</f>
        <v>1036553677027336192</v>
      </c>
      <c r="F377" s="15"/>
      <c r="G377" s="15"/>
      <c r="H377" s="15"/>
      <c r="I377" s="17">
        <v>2</v>
      </c>
      <c r="J377" s="17">
        <v>5</v>
      </c>
      <c r="K377" s="18" t="str">
        <f>HYPERLINK("http://twitter.com/download/android","Twitter for Android")</f>
        <v>Twitter for Android</v>
      </c>
      <c r="L377" s="17">
        <v>2083</v>
      </c>
      <c r="M377" s="17">
        <v>2189</v>
      </c>
      <c r="N377" s="17">
        <v>140</v>
      </c>
      <c r="O377" s="19"/>
      <c r="P377" s="10">
        <v>39853.082071759258</v>
      </c>
      <c r="Q377" s="20" t="s">
        <v>211</v>
      </c>
      <c r="R377" s="21" t="s">
        <v>212</v>
      </c>
      <c r="S377" s="16" t="s">
        <v>213</v>
      </c>
      <c r="T377" s="15"/>
      <c r="U377" s="14" t="str">
        <f>HYPERLINK("https://pbs.twimg.com/profile_images/619416622705414144/2Tyn4jkC.png","View")</f>
        <v>View</v>
      </c>
    </row>
    <row r="378" spans="1:21" ht="40">
      <c r="A378" s="10">
        <v>43346.122615740736</v>
      </c>
      <c r="B378" s="11" t="str">
        <f>HYPERLINK("https://twitter.com/MariaEcoGl","@MariaEcoGl")</f>
        <v>@MariaEcoGl</v>
      </c>
      <c r="C378" s="12" t="s">
        <v>304</v>
      </c>
      <c r="D378" s="13" t="s">
        <v>968</v>
      </c>
      <c r="E378" s="14" t="str">
        <f>HYPERLINK("https://twitter.com/MariaEcoGl/status/1036553529656307713","1036553529656307713")</f>
        <v>1036553529656307713</v>
      </c>
      <c r="F378" s="15"/>
      <c r="G378" s="15"/>
      <c r="H378" s="15"/>
      <c r="I378" s="17">
        <v>2</v>
      </c>
      <c r="J378" s="17">
        <v>3</v>
      </c>
      <c r="K378" s="18" t="str">
        <f>HYPERLINK("http://twitter.com/download/iphone","Twitter for iPhone")</f>
        <v>Twitter for iPhone</v>
      </c>
      <c r="L378" s="17">
        <v>1479</v>
      </c>
      <c r="M378" s="17">
        <v>2085</v>
      </c>
      <c r="N378" s="17">
        <v>43</v>
      </c>
      <c r="O378" s="19"/>
      <c r="P378" s="10">
        <v>41611.245787037034</v>
      </c>
      <c r="Q378" s="20" t="s">
        <v>307</v>
      </c>
      <c r="R378" s="21" t="s">
        <v>308</v>
      </c>
      <c r="S378" s="16" t="s">
        <v>309</v>
      </c>
      <c r="T378" s="15"/>
      <c r="U378" s="14" t="str">
        <f>HYPERLINK("https://pbs.twimg.com/profile_images/600251605141692416/YeaqAIJB.png","View")</f>
        <v>View</v>
      </c>
    </row>
    <row r="379" spans="1:21" ht="40">
      <c r="A379" s="10">
        <v>43346.122442129628</v>
      </c>
      <c r="B379" s="11" t="str">
        <f>HYPERLINK("https://twitter.com/natalieharrower","@natalieharrower")</f>
        <v>@natalieharrower</v>
      </c>
      <c r="C379" s="12" t="s">
        <v>59</v>
      </c>
      <c r="D379" s="13" t="s">
        <v>969</v>
      </c>
      <c r="E379" s="14" t="str">
        <f>HYPERLINK("https://twitter.com/natalieharrower/status/1036553469350555648","1036553469350555648")</f>
        <v>1036553469350555648</v>
      </c>
      <c r="F379" s="15"/>
      <c r="G379" s="15"/>
      <c r="H379" s="15"/>
      <c r="I379" s="17">
        <v>3</v>
      </c>
      <c r="J379" s="17">
        <v>6</v>
      </c>
      <c r="K379" s="18" t="str">
        <f>HYPERLINK("http://twitter.com","Twitter Web Client")</f>
        <v>Twitter Web Client</v>
      </c>
      <c r="L379" s="17">
        <v>2422</v>
      </c>
      <c r="M379" s="17">
        <v>2344</v>
      </c>
      <c r="N379" s="17">
        <v>164</v>
      </c>
      <c r="O379" s="19"/>
      <c r="P379" s="10">
        <v>39751.545844907407</v>
      </c>
      <c r="Q379" s="20" t="s">
        <v>61</v>
      </c>
      <c r="R379" s="21" t="s">
        <v>62</v>
      </c>
      <c r="S379" s="16" t="s">
        <v>63</v>
      </c>
      <c r="T379" s="15"/>
      <c r="U379" s="14" t="str">
        <f>HYPERLINK("https://pbs.twimg.com/profile_images/992918977172000769/pPUq69N4.jpg","View")</f>
        <v>View</v>
      </c>
    </row>
    <row r="380" spans="1:21" ht="20">
      <c r="A380" s="10">
        <v>43346.122291666667</v>
      </c>
      <c r="B380" s="11" t="str">
        <f>HYPERLINK("https://twitter.com/Sarah_DPC","@Sarah_DPC")</f>
        <v>@Sarah_DPC</v>
      </c>
      <c r="C380" s="12" t="s">
        <v>178</v>
      </c>
      <c r="D380" s="13" t="s">
        <v>970</v>
      </c>
      <c r="E380" s="14" t="str">
        <f>HYPERLINK("https://twitter.com/Sarah_DPC/status/1036553413973164032","1036553413973164032")</f>
        <v>1036553413973164032</v>
      </c>
      <c r="F380" s="15"/>
      <c r="G380" s="15"/>
      <c r="H380" s="15"/>
      <c r="I380" s="17">
        <v>0</v>
      </c>
      <c r="J380" s="17">
        <v>1</v>
      </c>
      <c r="K380" s="18" t="str">
        <f>HYPERLINK("http://twitter.com/download/android","Twitter for Android")</f>
        <v>Twitter for Android</v>
      </c>
      <c r="L380" s="17">
        <v>1270</v>
      </c>
      <c r="M380" s="17">
        <v>715</v>
      </c>
      <c r="N380" s="17">
        <v>51</v>
      </c>
      <c r="O380" s="19"/>
      <c r="P380" s="10">
        <v>41373.188576388886</v>
      </c>
      <c r="Q380" s="20" t="s">
        <v>180</v>
      </c>
      <c r="R380" s="21" t="s">
        <v>181</v>
      </c>
      <c r="S380" s="16" t="s">
        <v>182</v>
      </c>
      <c r="T380" s="15"/>
      <c r="U380" s="14" t="str">
        <f>HYPERLINK("https://pbs.twimg.com/profile_images/867263862726434816/K2qoO6sD.jpg","View")</f>
        <v>View</v>
      </c>
    </row>
    <row r="381" spans="1:21" ht="50">
      <c r="A381" s="10">
        <v>43346.12226851852</v>
      </c>
      <c r="B381" s="11" t="str">
        <f>HYPERLINK("https://twitter.com/HLFLondon","@HLFLondon")</f>
        <v>@HLFLondon</v>
      </c>
      <c r="C381" s="12" t="s">
        <v>54</v>
      </c>
      <c r="D381" s="13" t="s">
        <v>971</v>
      </c>
      <c r="E381" s="14" t="str">
        <f>HYPERLINK("https://twitter.com/HLFLondon/status/1036553403969810432","1036553403969810432")</f>
        <v>1036553403969810432</v>
      </c>
      <c r="F381" s="15"/>
      <c r="G381" s="16" t="s">
        <v>869</v>
      </c>
      <c r="H381" s="15"/>
      <c r="I381" s="17">
        <v>9</v>
      </c>
      <c r="J381" s="17">
        <v>26</v>
      </c>
      <c r="K381" s="18" t="str">
        <f>HYPERLINK("http://twitter.com/download/iphone","Twitter for iPhone")</f>
        <v>Twitter for iPhone</v>
      </c>
      <c r="L381" s="17">
        <v>3962</v>
      </c>
      <c r="M381" s="17">
        <v>1516</v>
      </c>
      <c r="N381" s="17">
        <v>74</v>
      </c>
      <c r="O381" s="19"/>
      <c r="P381" s="10">
        <v>41442.105706018519</v>
      </c>
      <c r="Q381" s="20" t="s">
        <v>56</v>
      </c>
      <c r="R381" s="21" t="s">
        <v>57</v>
      </c>
      <c r="S381" s="16" t="s">
        <v>58</v>
      </c>
      <c r="T381" s="15"/>
      <c r="U381" s="14" t="str">
        <f>HYPERLINK("https://pbs.twimg.com/profile_images/694839380582764544/6N71IZbb.jpg","View")</f>
        <v>View</v>
      </c>
    </row>
    <row r="382" spans="1:21" ht="30">
      <c r="A382" s="10">
        <v>43346.12164351852</v>
      </c>
      <c r="B382" s="11" t="str">
        <f>HYPERLINK("https://twitter.com/CriticalSteph","@CriticalSteph")</f>
        <v>@CriticalSteph</v>
      </c>
      <c r="C382" s="12" t="s">
        <v>209</v>
      </c>
      <c r="D382" s="13" t="s">
        <v>972</v>
      </c>
      <c r="E382" s="14" t="str">
        <f>HYPERLINK("https://twitter.com/CriticalSteph/status/1036553179314442240","1036553179314442240")</f>
        <v>1036553179314442240</v>
      </c>
      <c r="F382" s="15"/>
      <c r="G382" s="16" t="s">
        <v>973</v>
      </c>
      <c r="H382" s="15"/>
      <c r="I382" s="17">
        <v>3</v>
      </c>
      <c r="J382" s="17">
        <v>12</v>
      </c>
      <c r="K382" s="18" t="str">
        <f>HYPERLINK("http://twitter.com/download/android","Twitter for Android")</f>
        <v>Twitter for Android</v>
      </c>
      <c r="L382" s="17">
        <v>2083</v>
      </c>
      <c r="M382" s="17">
        <v>2189</v>
      </c>
      <c r="N382" s="17">
        <v>140</v>
      </c>
      <c r="O382" s="19"/>
      <c r="P382" s="10">
        <v>39853.082071759258</v>
      </c>
      <c r="Q382" s="20" t="s">
        <v>211</v>
      </c>
      <c r="R382" s="21" t="s">
        <v>212</v>
      </c>
      <c r="S382" s="16" t="s">
        <v>213</v>
      </c>
      <c r="T382" s="15"/>
      <c r="U382" s="14" t="str">
        <f>HYPERLINK("https://pbs.twimg.com/profile_images/619416622705414144/2Tyn4jkC.png","View")</f>
        <v>View</v>
      </c>
    </row>
    <row r="383" spans="1:21" ht="40">
      <c r="A383" s="10">
        <v>43346.121331018519</v>
      </c>
      <c r="B383" s="11" t="str">
        <f>HYPERLINK("https://twitter.com/natalieharrower","@natalieharrower")</f>
        <v>@natalieharrower</v>
      </c>
      <c r="C383" s="12" t="s">
        <v>59</v>
      </c>
      <c r="D383" s="13" t="s">
        <v>974</v>
      </c>
      <c r="E383" s="14" t="str">
        <f>HYPERLINK("https://twitter.com/natalieharrower/status/1036553065434963968","1036553065434963968")</f>
        <v>1036553065434963968</v>
      </c>
      <c r="F383" s="15"/>
      <c r="G383" s="15"/>
      <c r="H383" s="15"/>
      <c r="I383" s="17">
        <v>6</v>
      </c>
      <c r="J383" s="17">
        <v>6</v>
      </c>
      <c r="K383" s="18" t="str">
        <f>HYPERLINK("http://twitter.com","Twitter Web Client")</f>
        <v>Twitter Web Client</v>
      </c>
      <c r="L383" s="17">
        <v>2422</v>
      </c>
      <c r="M383" s="17">
        <v>2344</v>
      </c>
      <c r="N383" s="17">
        <v>164</v>
      </c>
      <c r="O383" s="19"/>
      <c r="P383" s="10">
        <v>39751.545844907407</v>
      </c>
      <c r="Q383" s="20" t="s">
        <v>61</v>
      </c>
      <c r="R383" s="21" t="s">
        <v>62</v>
      </c>
      <c r="S383" s="16" t="s">
        <v>63</v>
      </c>
      <c r="T383" s="15"/>
      <c r="U383" s="14" t="str">
        <f>HYPERLINK("https://pbs.twimg.com/profile_images/992918977172000769/pPUq69N4.jpg","View")</f>
        <v>View</v>
      </c>
    </row>
    <row r="384" spans="1:21" ht="30">
      <c r="A384" s="10">
        <v>43346.121099537035</v>
      </c>
      <c r="B384" s="11" t="str">
        <f>HYPERLINK("https://twitter.com/Sarah_DPC","@Sarah_DPC")</f>
        <v>@Sarah_DPC</v>
      </c>
      <c r="C384" s="12" t="s">
        <v>178</v>
      </c>
      <c r="D384" s="13" t="s">
        <v>975</v>
      </c>
      <c r="E384" s="14" t="str">
        <f>HYPERLINK("https://twitter.com/Sarah_DPC/status/1036552982521946113","1036552982521946113")</f>
        <v>1036552982521946113</v>
      </c>
      <c r="F384" s="15"/>
      <c r="G384" s="15"/>
      <c r="H384" s="15"/>
      <c r="I384" s="17">
        <v>0</v>
      </c>
      <c r="J384" s="17">
        <v>2</v>
      </c>
      <c r="K384" s="18" t="str">
        <f t="shared" ref="K384:K385" si="90">HYPERLINK("http://twitter.com/download/android","Twitter for Android")</f>
        <v>Twitter for Android</v>
      </c>
      <c r="L384" s="17">
        <v>1270</v>
      </c>
      <c r="M384" s="17">
        <v>715</v>
      </c>
      <c r="N384" s="17">
        <v>51</v>
      </c>
      <c r="O384" s="19"/>
      <c r="P384" s="10">
        <v>41373.188576388886</v>
      </c>
      <c r="Q384" s="20" t="s">
        <v>180</v>
      </c>
      <c r="R384" s="21" t="s">
        <v>181</v>
      </c>
      <c r="S384" s="16" t="s">
        <v>182</v>
      </c>
      <c r="T384" s="15"/>
      <c r="U384" s="14" t="str">
        <f>HYPERLINK("https://pbs.twimg.com/profile_images/867263862726434816/K2qoO6sD.jpg","View")</f>
        <v>View</v>
      </c>
    </row>
    <row r="385" spans="1:21" ht="40">
      <c r="A385" s="10">
        <v>43346.120798611111</v>
      </c>
      <c r="B385" s="11" t="str">
        <f>HYPERLINK("https://twitter.com/CKamposiori","@CKamposiori")</f>
        <v>@CKamposiori</v>
      </c>
      <c r="C385" s="12" t="s">
        <v>218</v>
      </c>
      <c r="D385" s="13" t="s">
        <v>976</v>
      </c>
      <c r="E385" s="14" t="str">
        <f>HYPERLINK("https://twitter.com/CKamposiori/status/1036552870261403648","1036552870261403648")</f>
        <v>1036552870261403648</v>
      </c>
      <c r="F385" s="15"/>
      <c r="G385" s="15"/>
      <c r="H385" s="15"/>
      <c r="I385" s="17">
        <v>6</v>
      </c>
      <c r="J385" s="17">
        <v>10</v>
      </c>
      <c r="K385" s="18" t="str">
        <f t="shared" si="90"/>
        <v>Twitter for Android</v>
      </c>
      <c r="L385" s="17">
        <v>1025</v>
      </c>
      <c r="M385" s="17">
        <v>1024</v>
      </c>
      <c r="N385" s="17">
        <v>62</v>
      </c>
      <c r="O385" s="19"/>
      <c r="P385" s="10">
        <v>41035.594293981485</v>
      </c>
      <c r="Q385" s="20" t="s">
        <v>220</v>
      </c>
      <c r="R385" s="21" t="s">
        <v>221</v>
      </c>
      <c r="S385" s="15"/>
      <c r="T385" s="15"/>
      <c r="U385" s="14" t="str">
        <f>HYPERLINK("https://pbs.twimg.com/profile_images/512669996871208960/UyoWDxT7.jpeg","View")</f>
        <v>View</v>
      </c>
    </row>
    <row r="386" spans="1:21" ht="30">
      <c r="A386" s="10">
        <v>43346.120486111111</v>
      </c>
      <c r="B386" s="11" t="str">
        <f>HYPERLINK("https://twitter.com/ellie__miles","@ellie__miles")</f>
        <v>@ellie__miles</v>
      </c>
      <c r="C386" s="12" t="s">
        <v>227</v>
      </c>
      <c r="D386" s="13" t="s">
        <v>977</v>
      </c>
      <c r="E386" s="14" t="str">
        <f>HYPERLINK("https://twitter.com/ellie__miles/status/1036552759628230658","1036552759628230658")</f>
        <v>1036552759628230658</v>
      </c>
      <c r="F386" s="15"/>
      <c r="G386" s="15"/>
      <c r="H386" s="15"/>
      <c r="I386" s="17">
        <v>6</v>
      </c>
      <c r="J386" s="17">
        <v>8</v>
      </c>
      <c r="K386" s="18" t="str">
        <f>HYPERLINK("https://mobile.twitter.com","Twitter Lite")</f>
        <v>Twitter Lite</v>
      </c>
      <c r="L386" s="17">
        <v>1051</v>
      </c>
      <c r="M386" s="17">
        <v>645</v>
      </c>
      <c r="N386" s="17">
        <v>29</v>
      </c>
      <c r="O386" s="19"/>
      <c r="P386" s="10">
        <v>41065.331909722227</v>
      </c>
      <c r="Q386" s="20" t="s">
        <v>56</v>
      </c>
      <c r="R386" s="21" t="s">
        <v>229</v>
      </c>
      <c r="S386" s="16" t="s">
        <v>230</v>
      </c>
      <c r="T386" s="15"/>
      <c r="U386" s="14" t="str">
        <f>HYPERLINK("https://pbs.twimg.com/profile_images/1017465512325009408/sUSUo4fg.jpg","View")</f>
        <v>View</v>
      </c>
    </row>
    <row r="387" spans="1:21" ht="40">
      <c r="A387" s="10">
        <v>43346.120208333334</v>
      </c>
      <c r="B387" s="11" t="str">
        <f>HYPERLINK("https://twitter.com/time_image","@time_image")</f>
        <v>@time_image</v>
      </c>
      <c r="C387" s="12" t="s">
        <v>978</v>
      </c>
      <c r="D387" s="13" t="s">
        <v>979</v>
      </c>
      <c r="E387" s="14" t="str">
        <f>HYPERLINK("https://twitter.com/time_image/status/1036552657564041216","1036552657564041216")</f>
        <v>1036552657564041216</v>
      </c>
      <c r="F387" s="15"/>
      <c r="G387" s="16" t="s">
        <v>980</v>
      </c>
      <c r="H387" s="15"/>
      <c r="I387" s="17">
        <v>1</v>
      </c>
      <c r="J387" s="17">
        <v>4</v>
      </c>
      <c r="K387" s="18" t="str">
        <f>HYPERLINK("http://twitter.com/download/android","Twitter for Android")</f>
        <v>Twitter for Android</v>
      </c>
      <c r="L387" s="17">
        <v>845</v>
      </c>
      <c r="M387" s="17">
        <v>771</v>
      </c>
      <c r="N387" s="17">
        <v>45</v>
      </c>
      <c r="O387" s="19"/>
      <c r="P387" s="10">
        <v>40491.429675925923</v>
      </c>
      <c r="Q387" s="20" t="s">
        <v>102</v>
      </c>
      <c r="R387" s="21" t="s">
        <v>981</v>
      </c>
      <c r="S387" s="16" t="s">
        <v>982</v>
      </c>
      <c r="T387" s="15"/>
      <c r="U387" s="14" t="str">
        <f>HYPERLINK("https://pbs.twimg.com/profile_images/444154324734595072/urnlOZq9.jpeg","View")</f>
        <v>View</v>
      </c>
    </row>
    <row r="388" spans="1:21" ht="30">
      <c r="A388" s="10">
        <v>43346.120150462964</v>
      </c>
      <c r="B388" s="11" t="str">
        <f>HYPERLINK("https://twitter.com/trudie78","@trudie78")</f>
        <v>@trudie78</v>
      </c>
      <c r="C388" s="12" t="s">
        <v>852</v>
      </c>
      <c r="D388" s="13" t="s">
        <v>983</v>
      </c>
      <c r="E388" s="14" t="str">
        <f>HYPERLINK("https://twitter.com/trudie78/status/1036552636009472001","1036552636009472001")</f>
        <v>1036552636009472001</v>
      </c>
      <c r="F388" s="15"/>
      <c r="G388" s="15"/>
      <c r="H388" s="15"/>
      <c r="I388" s="17">
        <v>0</v>
      </c>
      <c r="J388" s="17">
        <v>1</v>
      </c>
      <c r="K388" s="18" t="str">
        <f>HYPERLINK("http://twitter.com/#!/download/ipad","Twitter for iPad")</f>
        <v>Twitter for iPad</v>
      </c>
      <c r="L388" s="17">
        <v>106</v>
      </c>
      <c r="M388" s="17">
        <v>203</v>
      </c>
      <c r="N388" s="17">
        <v>6</v>
      </c>
      <c r="O388" s="19"/>
      <c r="P388" s="10">
        <v>40446.341226851851</v>
      </c>
      <c r="Q388" s="20" t="s">
        <v>854</v>
      </c>
      <c r="R388" s="21" t="s">
        <v>855</v>
      </c>
      <c r="S388" s="15"/>
      <c r="T388" s="15"/>
      <c r="U388" s="14" t="str">
        <f>HYPERLINK("https://pbs.twimg.com/profile_images/472309585836249088/l1b0ba11.jpeg","View")</f>
        <v>View</v>
      </c>
    </row>
    <row r="389" spans="1:21" ht="50">
      <c r="A389" s="10">
        <v>43346.120081018518</v>
      </c>
      <c r="B389" s="11" t="str">
        <f>HYPERLINK("https://twitter.com/ElisaGravil","@ElisaGravil")</f>
        <v>@ElisaGravil</v>
      </c>
      <c r="C389" s="12" t="s">
        <v>138</v>
      </c>
      <c r="D389" s="13" t="s">
        <v>984</v>
      </c>
      <c r="E389" s="14" t="str">
        <f>HYPERLINK("https://twitter.com/ElisaGravil/status/1036552612743729152","1036552612743729152")</f>
        <v>1036552612743729152</v>
      </c>
      <c r="F389" s="15"/>
      <c r="G389" s="16" t="s">
        <v>985</v>
      </c>
      <c r="H389" s="15"/>
      <c r="I389" s="17">
        <v>1</v>
      </c>
      <c r="J389" s="17">
        <v>2</v>
      </c>
      <c r="K389" s="18" t="str">
        <f t="shared" ref="K389:K390" si="91">HYPERLINK("http://twitter.com/download/iphone","Twitter for iPhone")</f>
        <v>Twitter for iPhone</v>
      </c>
      <c r="L389" s="17">
        <v>704</v>
      </c>
      <c r="M389" s="17">
        <v>1378</v>
      </c>
      <c r="N389" s="17">
        <v>18</v>
      </c>
      <c r="O389" s="19"/>
      <c r="P389" s="10">
        <v>40164.047962962963</v>
      </c>
      <c r="Q389" s="20" t="s">
        <v>141</v>
      </c>
      <c r="R389" s="21" t="s">
        <v>142</v>
      </c>
      <c r="S389" s="16" t="s">
        <v>143</v>
      </c>
      <c r="T389" s="15"/>
      <c r="U389" s="14" t="str">
        <f>HYPERLINK("https://pbs.twimg.com/profile_images/943772601150820353/-K75sKA9.jpg","View")</f>
        <v>View</v>
      </c>
    </row>
    <row r="390" spans="1:21" ht="40">
      <c r="A390" s="10">
        <v>43346.120069444441</v>
      </c>
      <c r="B390" s="11" t="str">
        <f>HYPERLINK("https://twitter.com/MariaEcoGl","@MariaEcoGl")</f>
        <v>@MariaEcoGl</v>
      </c>
      <c r="C390" s="12" t="s">
        <v>304</v>
      </c>
      <c r="D390" s="13" t="s">
        <v>986</v>
      </c>
      <c r="E390" s="14" t="str">
        <f>HYPERLINK("https://twitter.com/MariaEcoGl/status/1036552607412772864","1036552607412772864")</f>
        <v>1036552607412772864</v>
      </c>
      <c r="F390" s="15"/>
      <c r="G390" s="15"/>
      <c r="H390" s="15"/>
      <c r="I390" s="17">
        <v>3</v>
      </c>
      <c r="J390" s="17">
        <v>3</v>
      </c>
      <c r="K390" s="18" t="str">
        <f t="shared" si="91"/>
        <v>Twitter for iPhone</v>
      </c>
      <c r="L390" s="17">
        <v>1479</v>
      </c>
      <c r="M390" s="17">
        <v>2085</v>
      </c>
      <c r="N390" s="17">
        <v>43</v>
      </c>
      <c r="O390" s="19"/>
      <c r="P390" s="10">
        <v>41611.245787037034</v>
      </c>
      <c r="Q390" s="20" t="s">
        <v>307</v>
      </c>
      <c r="R390" s="21" t="s">
        <v>308</v>
      </c>
      <c r="S390" s="16" t="s">
        <v>309</v>
      </c>
      <c r="T390" s="15"/>
      <c r="U390" s="14" t="str">
        <f>HYPERLINK("https://pbs.twimg.com/profile_images/600251605141692416/YeaqAIJB.png","View")</f>
        <v>View</v>
      </c>
    </row>
    <row r="391" spans="1:21" ht="40">
      <c r="A391" s="10">
        <v>43346.120046296295</v>
      </c>
      <c r="B391" s="11" t="str">
        <f>HYPERLINK("https://twitter.com/SharonMcMeekin","@SharonMcMeekin")</f>
        <v>@SharonMcMeekin</v>
      </c>
      <c r="C391" s="12" t="s">
        <v>183</v>
      </c>
      <c r="D391" s="13" t="s">
        <v>987</v>
      </c>
      <c r="E391" s="14" t="str">
        <f>HYPERLINK("https://twitter.com/SharonMcMeekin/status/1036552597937827847","1036552597937827847")</f>
        <v>1036552597937827847</v>
      </c>
      <c r="F391" s="15"/>
      <c r="G391" s="15"/>
      <c r="H391" s="15"/>
      <c r="I391" s="17">
        <v>6</v>
      </c>
      <c r="J391" s="17">
        <v>9</v>
      </c>
      <c r="K391" s="18" t="str">
        <f>HYPERLINK("http://twitter.com/download/android","Twitter for Android")</f>
        <v>Twitter for Android</v>
      </c>
      <c r="L391" s="17">
        <v>1275</v>
      </c>
      <c r="M391" s="17">
        <v>312</v>
      </c>
      <c r="N391" s="17">
        <v>64</v>
      </c>
      <c r="O391" s="19"/>
      <c r="P391" s="10">
        <v>40255.238877314812</v>
      </c>
      <c r="Q391" s="20" t="s">
        <v>131</v>
      </c>
      <c r="R391" s="21" t="s">
        <v>185</v>
      </c>
      <c r="S391" s="16" t="s">
        <v>182</v>
      </c>
      <c r="T391" s="15"/>
      <c r="U391" s="14" t="str">
        <f>HYPERLINK("https://pbs.twimg.com/profile_images/839880688551743488/pXTyqWcy.jpg","View")</f>
        <v>View</v>
      </c>
    </row>
    <row r="392" spans="1:21" ht="40">
      <c r="A392" s="10">
        <v>43346.119953703703</v>
      </c>
      <c r="B392" s="11" t="str">
        <f>HYPERLINK("https://twitter.com/Cara_Hirst","@Cara_Hirst")</f>
        <v>@Cara_Hirst</v>
      </c>
      <c r="C392" s="12" t="s">
        <v>37</v>
      </c>
      <c r="D392" s="13" t="s">
        <v>988</v>
      </c>
      <c r="E392" s="14" t="str">
        <f>HYPERLINK("https://twitter.com/Cara_Hirst/status/1036552563473174529","1036552563473174529")</f>
        <v>1036552563473174529</v>
      </c>
      <c r="F392" s="15"/>
      <c r="G392" s="16" t="s">
        <v>989</v>
      </c>
      <c r="H392" s="15"/>
      <c r="I392" s="17">
        <v>3</v>
      </c>
      <c r="J392" s="17">
        <v>11</v>
      </c>
      <c r="K392" s="18" t="str">
        <f>HYPERLINK("http://twitter.com/download/iphone","Twitter for iPhone")</f>
        <v>Twitter for iPhone</v>
      </c>
      <c r="L392" s="17">
        <v>107</v>
      </c>
      <c r="M392" s="17">
        <v>126</v>
      </c>
      <c r="N392" s="17">
        <v>0</v>
      </c>
      <c r="O392" s="19"/>
      <c r="P392" s="10">
        <v>42876.36414351852</v>
      </c>
      <c r="Q392" s="20" t="s">
        <v>41</v>
      </c>
      <c r="R392" s="21" t="s">
        <v>42</v>
      </c>
      <c r="S392" s="16" t="s">
        <v>43</v>
      </c>
      <c r="T392" s="15"/>
      <c r="U392" s="14" t="str">
        <f>HYPERLINK("https://pbs.twimg.com/profile_images/1010580953029324800/pVaxjC1u.jpg","View")</f>
        <v>View</v>
      </c>
    </row>
    <row r="393" spans="1:21" ht="30">
      <c r="A393" s="10">
        <v>43346.119594907403</v>
      </c>
      <c r="B393" s="11" t="str">
        <f>HYPERLINK("https://twitter.com/CriticalSteph","@CriticalSteph")</f>
        <v>@CriticalSteph</v>
      </c>
      <c r="C393" s="12" t="s">
        <v>209</v>
      </c>
      <c r="D393" s="13" t="s">
        <v>990</v>
      </c>
      <c r="E393" s="14" t="str">
        <f>HYPERLINK("https://twitter.com/CriticalSteph/status/1036552435693760512","1036552435693760512")</f>
        <v>1036552435693760512</v>
      </c>
      <c r="F393" s="15"/>
      <c r="G393" s="15"/>
      <c r="H393" s="15"/>
      <c r="I393" s="17">
        <v>2</v>
      </c>
      <c r="J393" s="17">
        <v>6</v>
      </c>
      <c r="K393" s="18" t="str">
        <f>HYPERLINK("http://twitter.com/download/android","Twitter for Android")</f>
        <v>Twitter for Android</v>
      </c>
      <c r="L393" s="17">
        <v>2083</v>
      </c>
      <c r="M393" s="17">
        <v>2189</v>
      </c>
      <c r="N393" s="17">
        <v>140</v>
      </c>
      <c r="O393" s="19"/>
      <c r="P393" s="10">
        <v>39853.082071759258</v>
      </c>
      <c r="Q393" s="20" t="s">
        <v>211</v>
      </c>
      <c r="R393" s="21" t="s">
        <v>212</v>
      </c>
      <c r="S393" s="16" t="s">
        <v>213</v>
      </c>
      <c r="T393" s="15"/>
      <c r="U393" s="14" t="str">
        <f>HYPERLINK("https://pbs.twimg.com/profile_images/619416622705414144/2Tyn4jkC.png","View")</f>
        <v>View</v>
      </c>
    </row>
    <row r="394" spans="1:21" ht="40">
      <c r="A394" s="10">
        <v>43346.119479166664</v>
      </c>
      <c r="B394" s="11" t="str">
        <f>HYPERLINK("https://twitter.com/ellie__miles","@ellie__miles")</f>
        <v>@ellie__miles</v>
      </c>
      <c r="C394" s="12" t="s">
        <v>227</v>
      </c>
      <c r="D394" s="13" t="s">
        <v>991</v>
      </c>
      <c r="E394" s="14" t="str">
        <f>HYPERLINK("https://twitter.com/ellie__miles/status/1036552394191118337","1036552394191118337")</f>
        <v>1036552394191118337</v>
      </c>
      <c r="F394" s="15"/>
      <c r="G394" s="15"/>
      <c r="H394" s="15"/>
      <c r="I394" s="17">
        <v>3</v>
      </c>
      <c r="J394" s="17">
        <v>5</v>
      </c>
      <c r="K394" s="18" t="str">
        <f>HYPERLINK("https://mobile.twitter.com","Twitter Lite")</f>
        <v>Twitter Lite</v>
      </c>
      <c r="L394" s="17">
        <v>1051</v>
      </c>
      <c r="M394" s="17">
        <v>645</v>
      </c>
      <c r="N394" s="17">
        <v>29</v>
      </c>
      <c r="O394" s="19"/>
      <c r="P394" s="10">
        <v>41065.331909722227</v>
      </c>
      <c r="Q394" s="20" t="s">
        <v>56</v>
      </c>
      <c r="R394" s="21" t="s">
        <v>229</v>
      </c>
      <c r="S394" s="16" t="s">
        <v>230</v>
      </c>
      <c r="T394" s="15"/>
      <c r="U394" s="14" t="str">
        <f>HYPERLINK("https://pbs.twimg.com/profile_images/1017465512325009408/sUSUo4fg.jpg","View")</f>
        <v>View</v>
      </c>
    </row>
    <row r="395" spans="1:21" ht="20">
      <c r="A395" s="10">
        <v>43346.119085648148</v>
      </c>
      <c r="B395" s="11" t="str">
        <f>HYPERLINK("https://twitter.com/Sarah_DPC","@Sarah_DPC")</f>
        <v>@Sarah_DPC</v>
      </c>
      <c r="C395" s="12" t="s">
        <v>178</v>
      </c>
      <c r="D395" s="13" t="s">
        <v>992</v>
      </c>
      <c r="E395" s="14" t="str">
        <f>HYPERLINK("https://twitter.com/Sarah_DPC/status/1036552251827990528","1036552251827990528")</f>
        <v>1036552251827990528</v>
      </c>
      <c r="F395" s="15"/>
      <c r="G395" s="15"/>
      <c r="H395" s="15"/>
      <c r="I395" s="17">
        <v>3</v>
      </c>
      <c r="J395" s="17">
        <v>3</v>
      </c>
      <c r="K395" s="18" t="str">
        <f t="shared" ref="K395:K400" si="92">HYPERLINK("http://twitter.com/download/android","Twitter for Android")</f>
        <v>Twitter for Android</v>
      </c>
      <c r="L395" s="17">
        <v>1270</v>
      </c>
      <c r="M395" s="17">
        <v>715</v>
      </c>
      <c r="N395" s="17">
        <v>51</v>
      </c>
      <c r="O395" s="19"/>
      <c r="P395" s="10">
        <v>41373.188576388886</v>
      </c>
      <c r="Q395" s="20" t="s">
        <v>180</v>
      </c>
      <c r="R395" s="21" t="s">
        <v>181</v>
      </c>
      <c r="S395" s="16" t="s">
        <v>182</v>
      </c>
      <c r="T395" s="15"/>
      <c r="U395" s="14" t="str">
        <f>HYPERLINK("https://pbs.twimg.com/profile_images/867263862726434816/K2qoO6sD.jpg","View")</f>
        <v>View</v>
      </c>
    </row>
    <row r="396" spans="1:21" ht="30">
      <c r="A396" s="10">
        <v>43346.118900462963</v>
      </c>
      <c r="B396" s="11" t="str">
        <f>HYPERLINK("https://twitter.com/SLIPIreland","@SLIPIreland")</f>
        <v>@SLIPIreland</v>
      </c>
      <c r="C396" s="12" t="s">
        <v>161</v>
      </c>
      <c r="D396" s="13" t="s">
        <v>993</v>
      </c>
      <c r="E396" s="14" t="str">
        <f>HYPERLINK("https://twitter.com/SLIPIreland/status/1036552184320729090","1036552184320729090")</f>
        <v>1036552184320729090</v>
      </c>
      <c r="F396" s="15"/>
      <c r="G396" s="16" t="s">
        <v>994</v>
      </c>
      <c r="H396" s="15"/>
      <c r="I396" s="17">
        <v>6</v>
      </c>
      <c r="J396" s="17">
        <v>12</v>
      </c>
      <c r="K396" s="18" t="str">
        <f t="shared" si="92"/>
        <v>Twitter for Android</v>
      </c>
      <c r="L396" s="17">
        <v>943</v>
      </c>
      <c r="M396" s="17">
        <v>581</v>
      </c>
      <c r="N396" s="17">
        <v>43</v>
      </c>
      <c r="O396" s="19"/>
      <c r="P396" s="10">
        <v>42067.319490740745</v>
      </c>
      <c r="Q396" s="20" t="s">
        <v>164</v>
      </c>
      <c r="R396" s="21" t="s">
        <v>165</v>
      </c>
      <c r="S396" s="16" t="s">
        <v>166</v>
      </c>
      <c r="T396" s="15"/>
      <c r="U396" s="14" t="str">
        <f>HYPERLINK("https://pbs.twimg.com/profile_images/611647654574051328/YqIu3i2j.png","View")</f>
        <v>View</v>
      </c>
    </row>
    <row r="397" spans="1:21" ht="40">
      <c r="A397" s="10">
        <v>43346.117743055554</v>
      </c>
      <c r="B397" s="11" t="str">
        <f>HYPERLINK("https://twitter.com/Sarah_DPC","@Sarah_DPC")</f>
        <v>@Sarah_DPC</v>
      </c>
      <c r="C397" s="12" t="s">
        <v>178</v>
      </c>
      <c r="D397" s="13" t="s">
        <v>995</v>
      </c>
      <c r="E397" s="14" t="str">
        <f>HYPERLINK("https://twitter.com/Sarah_DPC/status/1036551766123442176","1036551766123442176")</f>
        <v>1036551766123442176</v>
      </c>
      <c r="F397" s="15"/>
      <c r="G397" s="15"/>
      <c r="H397" s="15"/>
      <c r="I397" s="17">
        <v>3</v>
      </c>
      <c r="J397" s="17">
        <v>2</v>
      </c>
      <c r="K397" s="18" t="str">
        <f t="shared" si="92"/>
        <v>Twitter for Android</v>
      </c>
      <c r="L397" s="17">
        <v>1270</v>
      </c>
      <c r="M397" s="17">
        <v>715</v>
      </c>
      <c r="N397" s="17">
        <v>51</v>
      </c>
      <c r="O397" s="19"/>
      <c r="P397" s="10">
        <v>41373.188576388886</v>
      </c>
      <c r="Q397" s="20" t="s">
        <v>180</v>
      </c>
      <c r="R397" s="21" t="s">
        <v>181</v>
      </c>
      <c r="S397" s="16" t="s">
        <v>182</v>
      </c>
      <c r="T397" s="15"/>
      <c r="U397" s="14" t="str">
        <f>HYPERLINK("https://pbs.twimg.com/profile_images/867263862726434816/K2qoO6sD.jpg","View")</f>
        <v>View</v>
      </c>
    </row>
    <row r="398" spans="1:21" ht="30">
      <c r="A398" s="10">
        <v>43346.117662037039</v>
      </c>
      <c r="B398" s="11" t="str">
        <f>HYPERLINK("https://twitter.com/CriticalSteph","@CriticalSteph")</f>
        <v>@CriticalSteph</v>
      </c>
      <c r="C398" s="12" t="s">
        <v>209</v>
      </c>
      <c r="D398" s="13" t="s">
        <v>996</v>
      </c>
      <c r="E398" s="14" t="str">
        <f>HYPERLINK("https://twitter.com/CriticalSteph/status/1036551733617602560","1036551733617602560")</f>
        <v>1036551733617602560</v>
      </c>
      <c r="F398" s="15"/>
      <c r="G398" s="15"/>
      <c r="H398" s="15"/>
      <c r="I398" s="17">
        <v>1</v>
      </c>
      <c r="J398" s="17">
        <v>5</v>
      </c>
      <c r="K398" s="18" t="str">
        <f t="shared" si="92"/>
        <v>Twitter for Android</v>
      </c>
      <c r="L398" s="17">
        <v>2083</v>
      </c>
      <c r="M398" s="17">
        <v>2189</v>
      </c>
      <c r="N398" s="17">
        <v>140</v>
      </c>
      <c r="O398" s="19"/>
      <c r="P398" s="10">
        <v>39853.082071759258</v>
      </c>
      <c r="Q398" s="20" t="s">
        <v>211</v>
      </c>
      <c r="R398" s="21" t="s">
        <v>212</v>
      </c>
      <c r="S398" s="16" t="s">
        <v>213</v>
      </c>
      <c r="T398" s="15"/>
      <c r="U398" s="14" t="str">
        <f>HYPERLINK("https://pbs.twimg.com/profile_images/619416622705414144/2Tyn4jkC.png","View")</f>
        <v>View</v>
      </c>
    </row>
    <row r="399" spans="1:21" ht="30">
      <c r="A399" s="10">
        <v>43346.117013888885</v>
      </c>
      <c r="B399" s="11" t="str">
        <f>HYPERLINK("https://twitter.com/dri_ireland","@dri_ireland")</f>
        <v>@dri_ireland</v>
      </c>
      <c r="C399" s="12" t="s">
        <v>197</v>
      </c>
      <c r="D399" s="24" t="s">
        <v>997</v>
      </c>
      <c r="E399" s="14" t="str">
        <f>HYPERLINK("https://twitter.com/dri_ireland/status/1036551498690437121","1036551498690437121")</f>
        <v>1036551498690437121</v>
      </c>
      <c r="F399" s="15"/>
      <c r="G399" s="15"/>
      <c r="H399" s="15"/>
      <c r="I399" s="17">
        <v>8</v>
      </c>
      <c r="J399" s="17">
        <v>12</v>
      </c>
      <c r="K399" s="18" t="str">
        <f t="shared" si="92"/>
        <v>Twitter for Android</v>
      </c>
      <c r="L399" s="17">
        <v>6134</v>
      </c>
      <c r="M399" s="17">
        <v>1732</v>
      </c>
      <c r="N399" s="17">
        <v>249</v>
      </c>
      <c r="O399" s="19"/>
      <c r="P399" s="10">
        <v>41172.215312500004</v>
      </c>
      <c r="Q399" s="20" t="s">
        <v>200</v>
      </c>
      <c r="R399" s="21" t="s">
        <v>201</v>
      </c>
      <c r="S399" s="16" t="s">
        <v>202</v>
      </c>
      <c r="T399" s="15"/>
      <c r="U399" s="14" t="str">
        <f>HYPERLINK("https://pbs.twimg.com/profile_images/603126975268581376/cGZW7aU3.jpg","View")</f>
        <v>View</v>
      </c>
    </row>
    <row r="400" spans="1:21" ht="40">
      <c r="A400" s="10">
        <v>43346.116979166662</v>
      </c>
      <c r="B400" s="11" t="str">
        <f>HYPERLINK("https://twitter.com/CKamposiori","@CKamposiori")</f>
        <v>@CKamposiori</v>
      </c>
      <c r="C400" s="12" t="s">
        <v>218</v>
      </c>
      <c r="D400" s="13" t="s">
        <v>998</v>
      </c>
      <c r="E400" s="14" t="str">
        <f>HYPERLINK("https://twitter.com/CKamposiori/status/1036551485797134336","1036551485797134336")</f>
        <v>1036551485797134336</v>
      </c>
      <c r="F400" s="16" t="s">
        <v>999</v>
      </c>
      <c r="G400" s="15"/>
      <c r="H400" s="15"/>
      <c r="I400" s="17">
        <v>1</v>
      </c>
      <c r="J400" s="17">
        <v>2</v>
      </c>
      <c r="K400" s="18" t="str">
        <f t="shared" si="92"/>
        <v>Twitter for Android</v>
      </c>
      <c r="L400" s="17">
        <v>1025</v>
      </c>
      <c r="M400" s="17">
        <v>1024</v>
      </c>
      <c r="N400" s="17">
        <v>62</v>
      </c>
      <c r="O400" s="19"/>
      <c r="P400" s="10">
        <v>41035.594293981485</v>
      </c>
      <c r="Q400" s="20" t="s">
        <v>220</v>
      </c>
      <c r="R400" s="21" t="s">
        <v>221</v>
      </c>
      <c r="S400" s="15"/>
      <c r="T400" s="15"/>
      <c r="U400" s="14" t="str">
        <f>HYPERLINK("https://pbs.twimg.com/profile_images/512669996871208960/UyoWDxT7.jpeg","View")</f>
        <v>View</v>
      </c>
    </row>
    <row r="401" spans="1:21" ht="40">
      <c r="A401" s="10">
        <v>43346.116400462968</v>
      </c>
      <c r="B401" s="11" t="str">
        <f>HYPERLINK("https://twitter.com/WhiteOctober","@WhiteOctober")</f>
        <v>@WhiteOctober</v>
      </c>
      <c r="C401" s="12" t="s">
        <v>1000</v>
      </c>
      <c r="D401" s="13" t="s">
        <v>1001</v>
      </c>
      <c r="E401" s="14" t="str">
        <f>HYPERLINK("https://twitter.com/WhiteOctober/status/1036551275901579264","1036551275901579264")</f>
        <v>1036551275901579264</v>
      </c>
      <c r="F401" s="15"/>
      <c r="G401" s="16" t="s">
        <v>1002</v>
      </c>
      <c r="H401" s="15"/>
      <c r="I401" s="17">
        <v>0</v>
      </c>
      <c r="J401" s="17">
        <v>3</v>
      </c>
      <c r="K401" s="18" t="str">
        <f>HYPERLINK("http://twitter.com","Twitter Web Client")</f>
        <v>Twitter Web Client</v>
      </c>
      <c r="L401" s="17">
        <v>2031</v>
      </c>
      <c r="M401" s="17">
        <v>668</v>
      </c>
      <c r="N401" s="17">
        <v>120</v>
      </c>
      <c r="O401" s="19"/>
      <c r="P401" s="10">
        <v>40005.046412037038</v>
      </c>
      <c r="Q401" s="20" t="s">
        <v>1003</v>
      </c>
      <c r="R401" s="21" t="s">
        <v>1004</v>
      </c>
      <c r="S401" s="16" t="s">
        <v>1005</v>
      </c>
      <c r="T401" s="15"/>
      <c r="U401" s="14" t="str">
        <f>HYPERLINK("https://pbs.twimg.com/profile_images/838739629041991680/hW15e7xP.jpg","View")</f>
        <v>View</v>
      </c>
    </row>
    <row r="402" spans="1:21" ht="20">
      <c r="A402" s="10">
        <v>43346.116168981476</v>
      </c>
      <c r="B402" s="11" t="str">
        <f>HYPERLINK("https://twitter.com/Sarah_DPC","@Sarah_DPC")</f>
        <v>@Sarah_DPC</v>
      </c>
      <c r="C402" s="12" t="s">
        <v>178</v>
      </c>
      <c r="D402" s="13" t="s">
        <v>1006</v>
      </c>
      <c r="E402" s="14" t="str">
        <f>HYPERLINK("https://twitter.com/Sarah_DPC/status/1036551195710631936","1036551195710631936")</f>
        <v>1036551195710631936</v>
      </c>
      <c r="F402" s="15"/>
      <c r="G402" s="15"/>
      <c r="H402" s="15"/>
      <c r="I402" s="17">
        <v>1</v>
      </c>
      <c r="J402" s="17">
        <v>2</v>
      </c>
      <c r="K402" s="18" t="str">
        <f t="shared" ref="K402:K403" si="93">HYPERLINK("http://twitter.com/download/android","Twitter for Android")</f>
        <v>Twitter for Android</v>
      </c>
      <c r="L402" s="17">
        <v>1270</v>
      </c>
      <c r="M402" s="17">
        <v>715</v>
      </c>
      <c r="N402" s="17">
        <v>51</v>
      </c>
      <c r="O402" s="19"/>
      <c r="P402" s="10">
        <v>41373.188576388886</v>
      </c>
      <c r="Q402" s="20" t="s">
        <v>180</v>
      </c>
      <c r="R402" s="21" t="s">
        <v>181</v>
      </c>
      <c r="S402" s="16" t="s">
        <v>182</v>
      </c>
      <c r="T402" s="15"/>
      <c r="U402" s="14" t="str">
        <f>HYPERLINK("https://pbs.twimg.com/profile_images/867263862726434816/K2qoO6sD.jpg","View")</f>
        <v>View</v>
      </c>
    </row>
    <row r="403" spans="1:21" ht="30">
      <c r="A403" s="10">
        <v>43346.115914351853</v>
      </c>
      <c r="B403" s="11" t="str">
        <f>HYPERLINK("https://twitter.com/MurielBailly","@MurielBailly")</f>
        <v>@MurielBailly</v>
      </c>
      <c r="C403" s="12" t="s">
        <v>813</v>
      </c>
      <c r="D403" s="13" t="s">
        <v>1007</v>
      </c>
      <c r="E403" s="14" t="str">
        <f>HYPERLINK("https://twitter.com/MurielBailly/status/1036551103423434752","1036551103423434752")</f>
        <v>1036551103423434752</v>
      </c>
      <c r="F403" s="15"/>
      <c r="G403" s="15"/>
      <c r="H403" s="15"/>
      <c r="I403" s="17">
        <v>1</v>
      </c>
      <c r="J403" s="17">
        <v>1</v>
      </c>
      <c r="K403" s="18" t="str">
        <f t="shared" si="93"/>
        <v>Twitter for Android</v>
      </c>
      <c r="L403" s="17">
        <v>360</v>
      </c>
      <c r="M403" s="17">
        <v>639</v>
      </c>
      <c r="N403" s="17">
        <v>10</v>
      </c>
      <c r="O403" s="19"/>
      <c r="P403" s="10">
        <v>40698.524895833332</v>
      </c>
      <c r="Q403" s="20" t="s">
        <v>56</v>
      </c>
      <c r="R403" s="21" t="s">
        <v>815</v>
      </c>
      <c r="S403" s="15"/>
      <c r="T403" s="15"/>
      <c r="U403" s="14" t="str">
        <f>HYPERLINK("https://pbs.twimg.com/profile_images/701869870460313600/hLul3bFR.jpg","View")</f>
        <v>View</v>
      </c>
    </row>
    <row r="404" spans="1:21" ht="40">
      <c r="A404" s="10">
        <v>43346.115902777776</v>
      </c>
      <c r="B404" s="11" t="str">
        <f>HYPERLINK("https://twitter.com/Jenny_R_Lee","@Jenny_R_Lee")</f>
        <v>@Jenny_R_Lee</v>
      </c>
      <c r="C404" s="12" t="s">
        <v>1008</v>
      </c>
      <c r="D404" s="13" t="s">
        <v>1009</v>
      </c>
      <c r="E404" s="14" t="str">
        <f>HYPERLINK("https://twitter.com/Jenny_R_Lee/status/1036551096121126912","1036551096121126912")</f>
        <v>1036551096121126912</v>
      </c>
      <c r="F404" s="15"/>
      <c r="G404" s="15"/>
      <c r="H404" s="15"/>
      <c r="I404" s="17">
        <v>0</v>
      </c>
      <c r="J404" s="17">
        <v>2</v>
      </c>
      <c r="K404" s="18" t="str">
        <f>HYPERLINK("http://twitter.com/download/iphone","Twitter for iPhone")</f>
        <v>Twitter for iPhone</v>
      </c>
      <c r="L404" s="17">
        <v>288</v>
      </c>
      <c r="M404" s="17">
        <v>839</v>
      </c>
      <c r="N404" s="17">
        <v>0</v>
      </c>
      <c r="O404" s="19"/>
      <c r="P404" s="10">
        <v>40759.185902777775</v>
      </c>
      <c r="Q404" s="20" t="s">
        <v>1010</v>
      </c>
      <c r="R404" s="21" t="s">
        <v>1011</v>
      </c>
      <c r="S404" s="16" t="s">
        <v>1012</v>
      </c>
      <c r="T404" s="15"/>
      <c r="U404" s="14" t="str">
        <f>HYPERLINK("https://pbs.twimg.com/profile_images/895298155004272640/3Q8j5qVW.jpg","View")</f>
        <v>View</v>
      </c>
    </row>
    <row r="405" spans="1:21" ht="60">
      <c r="A405" s="10">
        <v>43346.115659722222</v>
      </c>
      <c r="B405" s="11" t="str">
        <f>HYPERLINK("https://twitter.com/cornwallmp","@cornwallmp")</f>
        <v>@cornwallmp</v>
      </c>
      <c r="C405" s="12" t="s">
        <v>1013</v>
      </c>
      <c r="D405" s="13" t="s">
        <v>1014</v>
      </c>
      <c r="E405" s="14" t="str">
        <f>HYPERLINK("https://twitter.com/cornwallmp/status/1036551008334368768","1036551008334368768")</f>
        <v>1036551008334368768</v>
      </c>
      <c r="F405" s="16" t="s">
        <v>1015</v>
      </c>
      <c r="G405" s="16" t="s">
        <v>1016</v>
      </c>
      <c r="H405" s="15"/>
      <c r="I405" s="17">
        <v>3</v>
      </c>
      <c r="J405" s="17">
        <v>6</v>
      </c>
      <c r="K405" s="18" t="str">
        <f>HYPERLINK("http://twitter.com","Twitter Web Client")</f>
        <v>Twitter Web Client</v>
      </c>
      <c r="L405" s="17">
        <v>1162</v>
      </c>
      <c r="M405" s="17">
        <v>972</v>
      </c>
      <c r="N405" s="17">
        <v>35</v>
      </c>
      <c r="O405" s="19"/>
      <c r="P405" s="10">
        <v>42114.290289351848</v>
      </c>
      <c r="Q405" s="20" t="s">
        <v>1017</v>
      </c>
      <c r="R405" s="21" t="s">
        <v>1018</v>
      </c>
      <c r="S405" s="15"/>
      <c r="T405" s="15"/>
      <c r="U405" s="14" t="str">
        <f>HYPERLINK("https://pbs.twimg.com/profile_images/833621770288652289/krSN-GP9.jpg","View")</f>
        <v>View</v>
      </c>
    </row>
    <row r="406" spans="1:21" ht="40">
      <c r="A406" s="10">
        <v>43346.115567129629</v>
      </c>
      <c r="B406" s="11" t="str">
        <f>HYPERLINK("https://twitter.com/MariaEcoGl","@MariaEcoGl")</f>
        <v>@MariaEcoGl</v>
      </c>
      <c r="C406" s="12" t="s">
        <v>304</v>
      </c>
      <c r="D406" s="13" t="s">
        <v>1019</v>
      </c>
      <c r="E406" s="14" t="str">
        <f>HYPERLINK("https://twitter.com/MariaEcoGl/status/1036550974247239680","1036550974247239680")</f>
        <v>1036550974247239680</v>
      </c>
      <c r="F406" s="15"/>
      <c r="G406" s="16" t="s">
        <v>1020</v>
      </c>
      <c r="H406" s="15"/>
      <c r="I406" s="17">
        <v>6</v>
      </c>
      <c r="J406" s="17">
        <v>7</v>
      </c>
      <c r="K406" s="18" t="str">
        <f>HYPERLINK("http://twitter.com/download/iphone","Twitter for iPhone")</f>
        <v>Twitter for iPhone</v>
      </c>
      <c r="L406" s="17">
        <v>1479</v>
      </c>
      <c r="M406" s="17">
        <v>2085</v>
      </c>
      <c r="N406" s="17">
        <v>43</v>
      </c>
      <c r="O406" s="19"/>
      <c r="P406" s="10">
        <v>41611.245787037034</v>
      </c>
      <c r="Q406" s="20" t="s">
        <v>307</v>
      </c>
      <c r="R406" s="21" t="s">
        <v>308</v>
      </c>
      <c r="S406" s="16" t="s">
        <v>309</v>
      </c>
      <c r="T406" s="15"/>
      <c r="U406" s="14" t="str">
        <f>HYPERLINK("https://pbs.twimg.com/profile_images/600251605141692416/YeaqAIJB.png","View")</f>
        <v>View</v>
      </c>
    </row>
    <row r="407" spans="1:21" ht="20">
      <c r="A407" s="10">
        <v>43346.115405092598</v>
      </c>
      <c r="B407" s="11" t="str">
        <f>HYPERLINK("https://twitter.com/Sarah_DPC","@Sarah_DPC")</f>
        <v>@Sarah_DPC</v>
      </c>
      <c r="C407" s="12" t="s">
        <v>178</v>
      </c>
      <c r="D407" s="13" t="s">
        <v>1021</v>
      </c>
      <c r="E407" s="14" t="str">
        <f>HYPERLINK("https://twitter.com/Sarah_DPC/status/1036550918878232577","1036550918878232577")</f>
        <v>1036550918878232577</v>
      </c>
      <c r="F407" s="15"/>
      <c r="G407" s="15"/>
      <c r="H407" s="15"/>
      <c r="I407" s="17">
        <v>2</v>
      </c>
      <c r="J407" s="17">
        <v>1</v>
      </c>
      <c r="K407" s="18" t="str">
        <f t="shared" ref="K407:K408" si="94">HYPERLINK("http://twitter.com/download/android","Twitter for Android")</f>
        <v>Twitter for Android</v>
      </c>
      <c r="L407" s="17">
        <v>1270</v>
      </c>
      <c r="M407" s="17">
        <v>715</v>
      </c>
      <c r="N407" s="17">
        <v>51</v>
      </c>
      <c r="O407" s="19"/>
      <c r="P407" s="10">
        <v>41373.188576388886</v>
      </c>
      <c r="Q407" s="20" t="s">
        <v>180</v>
      </c>
      <c r="R407" s="21" t="s">
        <v>181</v>
      </c>
      <c r="S407" s="16" t="s">
        <v>182</v>
      </c>
      <c r="T407" s="15"/>
      <c r="U407" s="14" t="str">
        <f>HYPERLINK("https://pbs.twimg.com/profile_images/867263862726434816/K2qoO6sD.jpg","View")</f>
        <v>View</v>
      </c>
    </row>
    <row r="408" spans="1:21" ht="30">
      <c r="A408" s="10">
        <v>43346.115127314813</v>
      </c>
      <c r="B408" s="11" t="str">
        <f>HYPERLINK("https://twitter.com/CriticalSteph","@CriticalSteph")</f>
        <v>@CriticalSteph</v>
      </c>
      <c r="C408" s="12" t="s">
        <v>209</v>
      </c>
      <c r="D408" s="13" t="s">
        <v>1022</v>
      </c>
      <c r="E408" s="14" t="str">
        <f>HYPERLINK("https://twitter.com/CriticalSteph/status/1036550818147778560","1036550818147778560")</f>
        <v>1036550818147778560</v>
      </c>
      <c r="F408" s="15"/>
      <c r="G408" s="16" t="s">
        <v>1023</v>
      </c>
      <c r="H408" s="15"/>
      <c r="I408" s="17">
        <v>1</v>
      </c>
      <c r="J408" s="17">
        <v>2</v>
      </c>
      <c r="K408" s="18" t="str">
        <f t="shared" si="94"/>
        <v>Twitter for Android</v>
      </c>
      <c r="L408" s="17">
        <v>2083</v>
      </c>
      <c r="M408" s="17">
        <v>2189</v>
      </c>
      <c r="N408" s="17">
        <v>140</v>
      </c>
      <c r="O408" s="19"/>
      <c r="P408" s="10">
        <v>39853.082071759258</v>
      </c>
      <c r="Q408" s="20" t="s">
        <v>211</v>
      </c>
      <c r="R408" s="21" t="s">
        <v>212</v>
      </c>
      <c r="S408" s="16" t="s">
        <v>213</v>
      </c>
      <c r="T408" s="15"/>
      <c r="U408" s="14" t="str">
        <f>HYPERLINK("https://pbs.twimg.com/profile_images/619416622705414144/2Tyn4jkC.png","View")</f>
        <v>View</v>
      </c>
    </row>
    <row r="409" spans="1:21" ht="40">
      <c r="A409" s="10">
        <v>43346.115000000005</v>
      </c>
      <c r="B409" s="11" t="str">
        <f>HYPERLINK("https://twitter.com/JulieNAGWalsall","@JulieNAGWalsall")</f>
        <v>@JulieNAGWalsall</v>
      </c>
      <c r="C409" s="12" t="s">
        <v>1024</v>
      </c>
      <c r="D409" s="13" t="s">
        <v>1025</v>
      </c>
      <c r="E409" s="14" t="str">
        <f>HYPERLINK("https://twitter.com/JulieNAGWalsall/status/1036550771922354176","1036550771922354176")</f>
        <v>1036550771922354176</v>
      </c>
      <c r="F409" s="15"/>
      <c r="G409" s="16" t="s">
        <v>1026</v>
      </c>
      <c r="H409" s="15"/>
      <c r="I409" s="17">
        <v>4</v>
      </c>
      <c r="J409" s="17">
        <v>9</v>
      </c>
      <c r="K409" s="18" t="str">
        <f>HYPERLINK("http://twitter.com/download/iphone","Twitter for iPhone")</f>
        <v>Twitter for iPhone</v>
      </c>
      <c r="L409" s="17">
        <v>494</v>
      </c>
      <c r="M409" s="17">
        <v>541</v>
      </c>
      <c r="N409" s="17">
        <v>9</v>
      </c>
      <c r="O409" s="19"/>
      <c r="P409" s="10">
        <v>41417.329270833332</v>
      </c>
      <c r="Q409" s="20" t="s">
        <v>1027</v>
      </c>
      <c r="R409" s="21" t="s">
        <v>1028</v>
      </c>
      <c r="S409" s="16" t="s">
        <v>1029</v>
      </c>
      <c r="T409" s="15"/>
      <c r="U409" s="14" t="str">
        <f>HYPERLINK("https://pbs.twimg.com/profile_images/987352843727376384/P-uDgPZY.jpg","View")</f>
        <v>View</v>
      </c>
    </row>
    <row r="410" spans="1:21" ht="30">
      <c r="A410" s="10">
        <v>43346.114710648151</v>
      </c>
      <c r="B410" s="11" t="str">
        <f>HYPERLINK("https://twitter.com/Sarah_DPC","@Sarah_DPC")</f>
        <v>@Sarah_DPC</v>
      </c>
      <c r="C410" s="12" t="s">
        <v>178</v>
      </c>
      <c r="D410" s="13" t="s">
        <v>1030</v>
      </c>
      <c r="E410" s="14" t="str">
        <f>HYPERLINK("https://twitter.com/Sarah_DPC/status/1036550665634553856","1036550665634553856")</f>
        <v>1036550665634553856</v>
      </c>
      <c r="F410" s="15"/>
      <c r="G410" s="15"/>
      <c r="H410" s="15"/>
      <c r="I410" s="17">
        <v>2</v>
      </c>
      <c r="J410" s="17">
        <v>3</v>
      </c>
      <c r="K410" s="18" t="str">
        <f>HYPERLINK("http://twitter.com/download/android","Twitter for Android")</f>
        <v>Twitter for Android</v>
      </c>
      <c r="L410" s="17">
        <v>1270</v>
      </c>
      <c r="M410" s="17">
        <v>715</v>
      </c>
      <c r="N410" s="17">
        <v>51</v>
      </c>
      <c r="O410" s="19"/>
      <c r="P410" s="10">
        <v>41373.188576388886</v>
      </c>
      <c r="Q410" s="20" t="s">
        <v>180</v>
      </c>
      <c r="R410" s="21" t="s">
        <v>181</v>
      </c>
      <c r="S410" s="16" t="s">
        <v>182</v>
      </c>
      <c r="T410" s="15"/>
      <c r="U410" s="14" t="str">
        <f>HYPERLINK("https://pbs.twimg.com/profile_images/867263862726434816/K2qoO6sD.jpg","View")</f>
        <v>View</v>
      </c>
    </row>
    <row r="411" spans="1:21" ht="20">
      <c r="A411" s="10">
        <v>43346.114710648151</v>
      </c>
      <c r="B411" s="11" t="str">
        <f>HYPERLINK("https://twitter.com/digitalpunctum","@digitalpunctum")</f>
        <v>@digitalpunctum</v>
      </c>
      <c r="C411" s="12" t="s">
        <v>122</v>
      </c>
      <c r="D411" s="13" t="s">
        <v>1031</v>
      </c>
      <c r="E411" s="14" t="str">
        <f>HYPERLINK("https://twitter.com/digitalpunctum/status/1036550665621975041","1036550665621975041")</f>
        <v>1036550665621975041</v>
      </c>
      <c r="F411" s="15"/>
      <c r="G411" s="16" t="s">
        <v>1032</v>
      </c>
      <c r="H411" s="15"/>
      <c r="I411" s="17">
        <v>0</v>
      </c>
      <c r="J411" s="17">
        <v>4</v>
      </c>
      <c r="K411" s="18" t="str">
        <f>HYPERLINK("https://mobile.twitter.com","Twitter Lite")</f>
        <v>Twitter Lite</v>
      </c>
      <c r="L411" s="17">
        <v>208</v>
      </c>
      <c r="M411" s="17">
        <v>579</v>
      </c>
      <c r="N411" s="17">
        <v>2</v>
      </c>
      <c r="O411" s="19"/>
      <c r="P411" s="10">
        <v>43192.546041666668</v>
      </c>
      <c r="Q411" s="15"/>
      <c r="R411" s="21" t="s">
        <v>125</v>
      </c>
      <c r="S411" s="15"/>
      <c r="T411" s="15"/>
      <c r="U411" s="14" t="str">
        <f>HYPERLINK("https://pbs.twimg.com/profile_images/991669288556785664/stw8Ki5o.jpg","View")</f>
        <v>View</v>
      </c>
    </row>
    <row r="412" spans="1:21" ht="30">
      <c r="A412" s="10">
        <v>43346.113773148143</v>
      </c>
      <c r="B412" s="11" t="str">
        <f>HYPERLINK("https://twitter.com/DigitallySarah","@DigitallySarah")</f>
        <v>@DigitallySarah</v>
      </c>
      <c r="C412" s="12" t="s">
        <v>1033</v>
      </c>
      <c r="D412" s="13" t="s">
        <v>1034</v>
      </c>
      <c r="E412" s="14" t="str">
        <f>HYPERLINK("https://twitter.com/DigitallySarah/status/1036550326281809921","1036550326281809921")</f>
        <v>1036550326281809921</v>
      </c>
      <c r="F412" s="15"/>
      <c r="G412" s="15"/>
      <c r="H412" s="15"/>
      <c r="I412" s="17">
        <v>0</v>
      </c>
      <c r="J412" s="17">
        <v>8</v>
      </c>
      <c r="K412" s="18" t="str">
        <f>HYPERLINK("https://about.twitter.com/products/tweetdeck","TweetDeck")</f>
        <v>TweetDeck</v>
      </c>
      <c r="L412" s="17">
        <v>610</v>
      </c>
      <c r="M412" s="17">
        <v>511</v>
      </c>
      <c r="N412" s="17">
        <v>28</v>
      </c>
      <c r="O412" s="19"/>
      <c r="P412" s="10">
        <v>39868.694108796299</v>
      </c>
      <c r="Q412" s="20" t="s">
        <v>1035</v>
      </c>
      <c r="R412" s="21" t="s">
        <v>1036</v>
      </c>
      <c r="S412" s="15"/>
      <c r="T412" s="15"/>
      <c r="U412" s="14" t="str">
        <f>HYPERLINK("https://pbs.twimg.com/profile_images/3633983614/e2ba6f54fddae1475f055102ce9cd71e.jpeg","View")</f>
        <v>View</v>
      </c>
    </row>
    <row r="413" spans="1:21" ht="40">
      <c r="A413" s="10">
        <v>43346.113715277781</v>
      </c>
      <c r="B413" s="11" t="str">
        <f>HYPERLINK("https://twitter.com/sallye_l","@sallye_l")</f>
        <v>@sallye_l</v>
      </c>
      <c r="C413" s="12" t="s">
        <v>1037</v>
      </c>
      <c r="D413" s="13" t="s">
        <v>1038</v>
      </c>
      <c r="E413" s="14" t="str">
        <f>HYPERLINK("https://twitter.com/sallye_l/status/1036550303397699585","1036550303397699585")</f>
        <v>1036550303397699585</v>
      </c>
      <c r="F413" s="15"/>
      <c r="G413" s="15"/>
      <c r="H413" s="15"/>
      <c r="I413" s="17">
        <v>0</v>
      </c>
      <c r="J413" s="17">
        <v>1</v>
      </c>
      <c r="K413" s="18" t="str">
        <f>HYPERLINK("http://twitter.com","Twitter Web Client")</f>
        <v>Twitter Web Client</v>
      </c>
      <c r="L413" s="17">
        <v>522</v>
      </c>
      <c r="M413" s="17">
        <v>1150</v>
      </c>
      <c r="N413" s="17">
        <v>18</v>
      </c>
      <c r="O413" s="19"/>
      <c r="P413" s="10">
        <v>42157.116967592592</v>
      </c>
      <c r="Q413" s="20" t="s">
        <v>1039</v>
      </c>
      <c r="R413" s="21" t="s">
        <v>1040</v>
      </c>
      <c r="S413" s="15"/>
      <c r="T413" s="15"/>
      <c r="U413" s="14" t="str">
        <f>HYPERLINK("https://pbs.twimg.com/profile_images/624161192928358400/jaJMNe2q.png","View")</f>
        <v>View</v>
      </c>
    </row>
    <row r="414" spans="1:21" ht="30">
      <c r="A414" s="10">
        <v>43346.11347222222</v>
      </c>
      <c r="B414" s="11" t="str">
        <f>HYPERLINK("https://twitter.com/CUHerb","@CUHerb")</f>
        <v>@CUHerb</v>
      </c>
      <c r="C414" s="12" t="s">
        <v>819</v>
      </c>
      <c r="D414" s="13" t="s">
        <v>1041</v>
      </c>
      <c r="E414" s="14" t="str">
        <f>HYPERLINK("https://twitter.com/CUHerb/status/1036550216822996992","1036550216822996992")</f>
        <v>1036550216822996992</v>
      </c>
      <c r="F414" s="15"/>
      <c r="G414" s="16" t="s">
        <v>1042</v>
      </c>
      <c r="H414" s="15"/>
      <c r="I414" s="17">
        <v>1</v>
      </c>
      <c r="J414" s="17">
        <v>3</v>
      </c>
      <c r="K414" s="18" t="str">
        <f>HYPERLINK("https://mobile.twitter.com","Twitter Lite")</f>
        <v>Twitter Lite</v>
      </c>
      <c r="L414" s="17">
        <v>1265</v>
      </c>
      <c r="M414" s="17">
        <v>661</v>
      </c>
      <c r="N414" s="17">
        <v>21</v>
      </c>
      <c r="O414" s="19"/>
      <c r="P414" s="10">
        <v>42073.40662037037</v>
      </c>
      <c r="Q414" s="20" t="s">
        <v>822</v>
      </c>
      <c r="R414" s="21" t="s">
        <v>823</v>
      </c>
      <c r="S414" s="16" t="s">
        <v>824</v>
      </c>
      <c r="T414" s="15"/>
      <c r="U414" s="14" t="str">
        <f>HYPERLINK("https://pbs.twimg.com/profile_images/963078504773488640/YaSBrlJG.jpg","View")</f>
        <v>View</v>
      </c>
    </row>
    <row r="415" spans="1:21" ht="30">
      <c r="A415" s="10">
        <v>43346.11341435185</v>
      </c>
      <c r="B415" s="11" t="str">
        <f>HYPERLINK("https://twitter.com/Sarah_DPC","@Sarah_DPC")</f>
        <v>@Sarah_DPC</v>
      </c>
      <c r="C415" s="12" t="s">
        <v>178</v>
      </c>
      <c r="D415" s="13" t="s">
        <v>1043</v>
      </c>
      <c r="E415" s="14" t="str">
        <f>HYPERLINK("https://twitter.com/Sarah_DPC/status/1036550196153528320","1036550196153528320")</f>
        <v>1036550196153528320</v>
      </c>
      <c r="F415" s="15"/>
      <c r="G415" s="16" t="s">
        <v>1044</v>
      </c>
      <c r="H415" s="15"/>
      <c r="I415" s="17">
        <v>2</v>
      </c>
      <c r="J415" s="17">
        <v>1</v>
      </c>
      <c r="K415" s="18" t="str">
        <f t="shared" ref="K415:K418" si="95">HYPERLINK("http://twitter.com/download/android","Twitter for Android")</f>
        <v>Twitter for Android</v>
      </c>
      <c r="L415" s="17">
        <v>1270</v>
      </c>
      <c r="M415" s="17">
        <v>715</v>
      </c>
      <c r="N415" s="17">
        <v>51</v>
      </c>
      <c r="O415" s="19"/>
      <c r="P415" s="10">
        <v>41373.188576388886</v>
      </c>
      <c r="Q415" s="20" t="s">
        <v>180</v>
      </c>
      <c r="R415" s="21" t="s">
        <v>181</v>
      </c>
      <c r="S415" s="16" t="s">
        <v>182</v>
      </c>
      <c r="T415" s="15"/>
      <c r="U415" s="14" t="str">
        <f>HYPERLINK("https://pbs.twimg.com/profile_images/867263862726434816/K2qoO6sD.jpg","View")</f>
        <v>View</v>
      </c>
    </row>
    <row r="416" spans="1:21" ht="40">
      <c r="A416" s="10">
        <v>43346.113333333335</v>
      </c>
      <c r="B416" s="11" t="str">
        <f>HYPERLINK("https://twitter.com/SharonMcMeekin","@SharonMcMeekin")</f>
        <v>@SharonMcMeekin</v>
      </c>
      <c r="C416" s="12" t="s">
        <v>183</v>
      </c>
      <c r="D416" s="13" t="s">
        <v>1045</v>
      </c>
      <c r="E416" s="14" t="str">
        <f>HYPERLINK("https://twitter.com/SharonMcMeekin/status/1036550167254757376","1036550167254757376")</f>
        <v>1036550167254757376</v>
      </c>
      <c r="F416" s="15"/>
      <c r="G416" s="16" t="s">
        <v>1046</v>
      </c>
      <c r="H416" s="15"/>
      <c r="I416" s="17">
        <v>1</v>
      </c>
      <c r="J416" s="17">
        <v>4</v>
      </c>
      <c r="K416" s="18" t="str">
        <f t="shared" si="95"/>
        <v>Twitter for Android</v>
      </c>
      <c r="L416" s="17">
        <v>1275</v>
      </c>
      <c r="M416" s="17">
        <v>312</v>
      </c>
      <c r="N416" s="17">
        <v>64</v>
      </c>
      <c r="O416" s="19"/>
      <c r="P416" s="10">
        <v>40255.238877314812</v>
      </c>
      <c r="Q416" s="20" t="s">
        <v>131</v>
      </c>
      <c r="R416" s="21" t="s">
        <v>185</v>
      </c>
      <c r="S416" s="16" t="s">
        <v>182</v>
      </c>
      <c r="T416" s="15"/>
      <c r="U416" s="14" t="str">
        <f>HYPERLINK("https://pbs.twimg.com/profile_images/839880688551743488/pXTyqWcy.jpg","View")</f>
        <v>View</v>
      </c>
    </row>
    <row r="417" spans="1:21" ht="40">
      <c r="A417" s="10">
        <v>43346.113182870366</v>
      </c>
      <c r="B417" s="11" t="str">
        <f>HYPERLINK("https://twitter.com/ElsaKPrice","@ElsaKPrice")</f>
        <v>@ElsaKPrice</v>
      </c>
      <c r="C417" s="12" t="s">
        <v>485</v>
      </c>
      <c r="D417" s="13" t="s">
        <v>1047</v>
      </c>
      <c r="E417" s="14" t="str">
        <f>HYPERLINK("https://twitter.com/ElsaKPrice/status/1036550110040141824","1036550110040141824")</f>
        <v>1036550110040141824</v>
      </c>
      <c r="F417" s="15"/>
      <c r="G417" s="16" t="s">
        <v>1048</v>
      </c>
      <c r="H417" s="15"/>
      <c r="I417" s="17">
        <v>1</v>
      </c>
      <c r="J417" s="17">
        <v>4</v>
      </c>
      <c r="K417" s="18" t="str">
        <f t="shared" si="95"/>
        <v>Twitter for Android</v>
      </c>
      <c r="L417" s="17">
        <v>148</v>
      </c>
      <c r="M417" s="17">
        <v>388</v>
      </c>
      <c r="N417" s="17">
        <v>0</v>
      </c>
      <c r="O417" s="19"/>
      <c r="P417" s="10">
        <v>42087.617326388892</v>
      </c>
      <c r="Q417" s="20" t="s">
        <v>487</v>
      </c>
      <c r="R417" s="21" t="s">
        <v>488</v>
      </c>
      <c r="S417" s="16" t="s">
        <v>489</v>
      </c>
      <c r="T417" s="15"/>
      <c r="U417" s="14" t="str">
        <f>HYPERLINK("https://pbs.twimg.com/profile_images/951949742954766336/8shV-chY.jpg","View")</f>
        <v>View</v>
      </c>
    </row>
    <row r="418" spans="1:21" ht="30">
      <c r="A418" s="10">
        <v>43346.113043981481</v>
      </c>
      <c r="B418" s="11" t="str">
        <f>HYPERLINK("https://twitter.com/CriticalSteph","@CriticalSteph")</f>
        <v>@CriticalSteph</v>
      </c>
      <c r="C418" s="12" t="s">
        <v>209</v>
      </c>
      <c r="D418" s="13" t="s">
        <v>1049</v>
      </c>
      <c r="E418" s="14" t="str">
        <f>HYPERLINK("https://twitter.com/CriticalSteph/status/1036550062711730176","1036550062711730176")</f>
        <v>1036550062711730176</v>
      </c>
      <c r="F418" s="15"/>
      <c r="G418" s="16" t="s">
        <v>1050</v>
      </c>
      <c r="H418" s="15"/>
      <c r="I418" s="17">
        <v>1</v>
      </c>
      <c r="J418" s="17">
        <v>1</v>
      </c>
      <c r="K418" s="18" t="str">
        <f t="shared" si="95"/>
        <v>Twitter for Android</v>
      </c>
      <c r="L418" s="17">
        <v>2083</v>
      </c>
      <c r="M418" s="17">
        <v>2189</v>
      </c>
      <c r="N418" s="17">
        <v>140</v>
      </c>
      <c r="O418" s="19"/>
      <c r="P418" s="10">
        <v>39853.082071759258</v>
      </c>
      <c r="Q418" s="20" t="s">
        <v>211</v>
      </c>
      <c r="R418" s="21" t="s">
        <v>212</v>
      </c>
      <c r="S418" s="16" t="s">
        <v>213</v>
      </c>
      <c r="T418" s="15"/>
      <c r="U418" s="14" t="str">
        <f>HYPERLINK("https://pbs.twimg.com/profile_images/619416622705414144/2Tyn4jkC.png","View")</f>
        <v>View</v>
      </c>
    </row>
    <row r="419" spans="1:21" ht="20">
      <c r="A419" s="10">
        <v>43346.112986111111</v>
      </c>
      <c r="B419" s="11" t="str">
        <f>HYPERLINK("https://twitter.com/ZofiaK","@ZofiaK")</f>
        <v>@ZofiaK</v>
      </c>
      <c r="C419" s="12" t="s">
        <v>947</v>
      </c>
      <c r="D419" s="13" t="s">
        <v>1051</v>
      </c>
      <c r="E419" s="14" t="str">
        <f>HYPERLINK("https://twitter.com/ZofiaK/status/1036550042214170624","1036550042214170624")</f>
        <v>1036550042214170624</v>
      </c>
      <c r="F419" s="15"/>
      <c r="G419" s="16" t="s">
        <v>1052</v>
      </c>
      <c r="H419" s="15"/>
      <c r="I419" s="17">
        <v>1</v>
      </c>
      <c r="J419" s="17">
        <v>5</v>
      </c>
      <c r="K419" s="18" t="str">
        <f t="shared" ref="K419:K420" si="96">HYPERLINK("http://twitter.com/download/iphone","Twitter for iPhone")</f>
        <v>Twitter for iPhone</v>
      </c>
      <c r="L419" s="17">
        <v>317</v>
      </c>
      <c r="M419" s="17">
        <v>516</v>
      </c>
      <c r="N419" s="17">
        <v>8</v>
      </c>
      <c r="O419" s="19"/>
      <c r="P419" s="10">
        <v>39877.457418981481</v>
      </c>
      <c r="Q419" s="20" t="s">
        <v>950</v>
      </c>
      <c r="R419" s="21" t="s">
        <v>951</v>
      </c>
      <c r="S419" s="15"/>
      <c r="T419" s="15"/>
      <c r="U419" s="14" t="str">
        <f>HYPERLINK("https://pbs.twimg.com/profile_images/1007537837674237952/i6QoNhFi.jpg","View")</f>
        <v>View</v>
      </c>
    </row>
    <row r="420" spans="1:21" ht="40">
      <c r="A420" s="10">
        <v>43346.112881944442</v>
      </c>
      <c r="B420" s="11" t="str">
        <f>HYPERLINK("https://twitter.com/thatmuseumguy","@thatmuseumguy")</f>
        <v>@thatmuseumguy</v>
      </c>
      <c r="C420" s="12" t="s">
        <v>419</v>
      </c>
      <c r="D420" s="13" t="s">
        <v>1053</v>
      </c>
      <c r="E420" s="14" t="str">
        <f>HYPERLINK("https://twitter.com/thatmuseumguy/status/1036550001617448961","1036550001617448961")</f>
        <v>1036550001617448961</v>
      </c>
      <c r="F420" s="15"/>
      <c r="G420" s="16" t="s">
        <v>1054</v>
      </c>
      <c r="H420" s="15"/>
      <c r="I420" s="17">
        <v>2</v>
      </c>
      <c r="J420" s="17">
        <v>5</v>
      </c>
      <c r="K420" s="18" t="str">
        <f t="shared" si="96"/>
        <v>Twitter for iPhone</v>
      </c>
      <c r="L420" s="17">
        <v>1287</v>
      </c>
      <c r="M420" s="17">
        <v>281</v>
      </c>
      <c r="N420" s="17">
        <v>68</v>
      </c>
      <c r="O420" s="19"/>
      <c r="P420" s="10">
        <v>40972.271168981482</v>
      </c>
      <c r="Q420" s="20" t="s">
        <v>422</v>
      </c>
      <c r="R420" s="21" t="s">
        <v>423</v>
      </c>
      <c r="S420" s="16" t="s">
        <v>424</v>
      </c>
      <c r="T420" s="15"/>
      <c r="U420" s="14" t="str">
        <f>HYPERLINK("https://pbs.twimg.com/profile_images/1010082102333857794/a1-qQPdj.jpg","View")</f>
        <v>View</v>
      </c>
    </row>
    <row r="421" spans="1:21" ht="40">
      <c r="A421" s="10">
        <v>43346.112268518518</v>
      </c>
      <c r="B421" s="11" t="str">
        <f>HYPERLINK("https://twitter.com/KHClem","@KHClem")</f>
        <v>@KHClem</v>
      </c>
      <c r="C421" s="12" t="s">
        <v>692</v>
      </c>
      <c r="D421" s="13" t="s">
        <v>1055</v>
      </c>
      <c r="E421" s="14" t="str">
        <f>HYPERLINK("https://twitter.com/KHClem/status/1036549778925146112","1036549778925146112")</f>
        <v>1036549778925146112</v>
      </c>
      <c r="F421" s="15"/>
      <c r="G421" s="16" t="s">
        <v>1056</v>
      </c>
      <c r="H421" s="15"/>
      <c r="I421" s="17">
        <v>2</v>
      </c>
      <c r="J421" s="17">
        <v>3</v>
      </c>
      <c r="K421" s="18" t="str">
        <f>HYPERLINK("http://twitter.com/download/android","Twitter for Android")</f>
        <v>Twitter for Android</v>
      </c>
      <c r="L421" s="17">
        <v>119</v>
      </c>
      <c r="M421" s="17">
        <v>223</v>
      </c>
      <c r="N421" s="17">
        <v>2</v>
      </c>
      <c r="O421" s="19"/>
      <c r="P421" s="10">
        <v>39869.101145833338</v>
      </c>
      <c r="Q421" s="15"/>
      <c r="R421" s="21" t="s">
        <v>695</v>
      </c>
      <c r="S421" s="15"/>
      <c r="T421" s="15"/>
      <c r="U421" s="14" t="str">
        <f>HYPERLINK("https://pbs.twimg.com/profile_images/622170991519789056/1VAPf73R.jpg","View")</f>
        <v>View</v>
      </c>
    </row>
    <row r="422" spans="1:21" ht="40">
      <c r="A422" s="10">
        <v>43346.112245370372</v>
      </c>
      <c r="B422" s="11" t="str">
        <f>HYPERLINK("https://twitter.com/ElisaGravil","@ElisaGravil")</f>
        <v>@ElisaGravil</v>
      </c>
      <c r="C422" s="12" t="s">
        <v>138</v>
      </c>
      <c r="D422" s="13" t="s">
        <v>1057</v>
      </c>
      <c r="E422" s="14" t="str">
        <f>HYPERLINK("https://twitter.com/ElisaGravil/status/1036549770817495041","1036549770817495041")</f>
        <v>1036549770817495041</v>
      </c>
      <c r="F422" s="15"/>
      <c r="G422" s="16" t="s">
        <v>1058</v>
      </c>
      <c r="H422" s="15"/>
      <c r="I422" s="17">
        <v>2</v>
      </c>
      <c r="J422" s="17">
        <v>2</v>
      </c>
      <c r="K422" s="18" t="str">
        <f t="shared" ref="K422:K423" si="97">HYPERLINK("http://twitter.com/download/iphone","Twitter for iPhone")</f>
        <v>Twitter for iPhone</v>
      </c>
      <c r="L422" s="17">
        <v>704</v>
      </c>
      <c r="M422" s="17">
        <v>1378</v>
      </c>
      <c r="N422" s="17">
        <v>18</v>
      </c>
      <c r="O422" s="19"/>
      <c r="P422" s="10">
        <v>40164.047962962963</v>
      </c>
      <c r="Q422" s="20" t="s">
        <v>141</v>
      </c>
      <c r="R422" s="21" t="s">
        <v>142</v>
      </c>
      <c r="S422" s="16" t="s">
        <v>143</v>
      </c>
      <c r="T422" s="15"/>
      <c r="U422" s="14" t="str">
        <f>HYPERLINK("https://pbs.twimg.com/profile_images/943772601150820353/-K75sKA9.jpg","View")</f>
        <v>View</v>
      </c>
    </row>
    <row r="423" spans="1:21" ht="40">
      <c r="A423" s="10">
        <v>43346.111701388887</v>
      </c>
      <c r="B423" s="11" t="str">
        <f>HYPERLINK("https://twitter.com/MariaEcoGl","@MariaEcoGl")</f>
        <v>@MariaEcoGl</v>
      </c>
      <c r="C423" s="12" t="s">
        <v>304</v>
      </c>
      <c r="D423" s="13" t="s">
        <v>1059</v>
      </c>
      <c r="E423" s="14" t="str">
        <f>HYPERLINK("https://twitter.com/MariaEcoGl/status/1036549573748170753","1036549573748170753")</f>
        <v>1036549573748170753</v>
      </c>
      <c r="F423" s="15"/>
      <c r="G423" s="15"/>
      <c r="H423" s="15"/>
      <c r="I423" s="17">
        <v>1</v>
      </c>
      <c r="J423" s="17">
        <v>4</v>
      </c>
      <c r="K423" s="18" t="str">
        <f t="shared" si="97"/>
        <v>Twitter for iPhone</v>
      </c>
      <c r="L423" s="17">
        <v>1479</v>
      </c>
      <c r="M423" s="17">
        <v>2085</v>
      </c>
      <c r="N423" s="17">
        <v>43</v>
      </c>
      <c r="O423" s="19"/>
      <c r="P423" s="10">
        <v>41611.245787037034</v>
      </c>
      <c r="Q423" s="20" t="s">
        <v>307</v>
      </c>
      <c r="R423" s="21" t="s">
        <v>308</v>
      </c>
      <c r="S423" s="16" t="s">
        <v>309</v>
      </c>
      <c r="T423" s="15"/>
      <c r="U423" s="14" t="str">
        <f>HYPERLINK("https://pbs.twimg.com/profile_images/600251605141692416/YeaqAIJB.png","View")</f>
        <v>View</v>
      </c>
    </row>
    <row r="424" spans="1:21" ht="20">
      <c r="A424" s="10">
        <v>43346.111655092594</v>
      </c>
      <c r="B424" s="11" t="str">
        <f>HYPERLINK("https://twitter.com/TessaHauswedell","@TessaHauswedell")</f>
        <v>@TessaHauswedell</v>
      </c>
      <c r="C424" s="12" t="s">
        <v>1060</v>
      </c>
      <c r="D424" s="13" t="s">
        <v>1061</v>
      </c>
      <c r="E424" s="14" t="str">
        <f>HYPERLINK("https://twitter.com/TessaHauswedell/status/1036549557495242752","1036549557495242752")</f>
        <v>1036549557495242752</v>
      </c>
      <c r="F424" s="15"/>
      <c r="G424" s="15"/>
      <c r="H424" s="15"/>
      <c r="I424" s="17">
        <v>1</v>
      </c>
      <c r="J424" s="17">
        <v>2</v>
      </c>
      <c r="K424" s="18" t="str">
        <f>HYPERLINK("http://twitter.com","Twitter Web Client")</f>
        <v>Twitter Web Client</v>
      </c>
      <c r="L424" s="17">
        <v>49</v>
      </c>
      <c r="M424" s="17">
        <v>125</v>
      </c>
      <c r="N424" s="17">
        <v>2</v>
      </c>
      <c r="O424" s="19"/>
      <c r="P424" s="10">
        <v>40772.606898148151</v>
      </c>
      <c r="Q424" s="20" t="s">
        <v>41</v>
      </c>
      <c r="R424" s="21" t="s">
        <v>1062</v>
      </c>
      <c r="S424" s="15"/>
      <c r="T424" s="15"/>
      <c r="U424" s="23" t="s">
        <v>1063</v>
      </c>
    </row>
    <row r="425" spans="1:21" ht="30">
      <c r="A425" s="10">
        <v>43346.111180555556</v>
      </c>
      <c r="B425" s="11" t="str">
        <f>HYPERLINK("https://twitter.com/MurielBailly","@MurielBailly")</f>
        <v>@MurielBailly</v>
      </c>
      <c r="C425" s="12" t="s">
        <v>813</v>
      </c>
      <c r="D425" s="13" t="s">
        <v>1064</v>
      </c>
      <c r="E425" s="14" t="str">
        <f>HYPERLINK("https://twitter.com/MurielBailly/status/1036549385214222337","1036549385214222337")</f>
        <v>1036549385214222337</v>
      </c>
      <c r="F425" s="15"/>
      <c r="G425" s="16" t="s">
        <v>1065</v>
      </c>
      <c r="H425" s="15"/>
      <c r="I425" s="17">
        <v>1</v>
      </c>
      <c r="J425" s="17">
        <v>8</v>
      </c>
      <c r="K425" s="18" t="str">
        <f t="shared" ref="K425:K426" si="98">HYPERLINK("http://twitter.com/download/android","Twitter for Android")</f>
        <v>Twitter for Android</v>
      </c>
      <c r="L425" s="17">
        <v>360</v>
      </c>
      <c r="M425" s="17">
        <v>639</v>
      </c>
      <c r="N425" s="17">
        <v>10</v>
      </c>
      <c r="O425" s="19"/>
      <c r="P425" s="10">
        <v>40698.524895833332</v>
      </c>
      <c r="Q425" s="20" t="s">
        <v>56</v>
      </c>
      <c r="R425" s="21" t="s">
        <v>815</v>
      </c>
      <c r="S425" s="15"/>
      <c r="T425" s="15"/>
      <c r="U425" s="14" t="str">
        <f>HYPERLINK("https://pbs.twimg.com/profile_images/701869870460313600/hLul3bFR.jpg","View")</f>
        <v>View</v>
      </c>
    </row>
    <row r="426" spans="1:21" ht="30">
      <c r="A426" s="10">
        <v>43346.111168981486</v>
      </c>
      <c r="B426" s="11" t="str">
        <f>HYPERLINK("https://twitter.com/CriticalSteph","@CriticalSteph")</f>
        <v>@CriticalSteph</v>
      </c>
      <c r="C426" s="12" t="s">
        <v>209</v>
      </c>
      <c r="D426" s="13" t="s">
        <v>1066</v>
      </c>
      <c r="E426" s="14" t="str">
        <f>HYPERLINK("https://twitter.com/CriticalSteph/status/1036549381879676928","1036549381879676928")</f>
        <v>1036549381879676928</v>
      </c>
      <c r="F426" s="15"/>
      <c r="G426" s="16" t="s">
        <v>1067</v>
      </c>
      <c r="H426" s="15"/>
      <c r="I426" s="17">
        <v>2</v>
      </c>
      <c r="J426" s="17">
        <v>2</v>
      </c>
      <c r="K426" s="18" t="str">
        <f t="shared" si="98"/>
        <v>Twitter for Android</v>
      </c>
      <c r="L426" s="17">
        <v>2083</v>
      </c>
      <c r="M426" s="17">
        <v>2189</v>
      </c>
      <c r="N426" s="17">
        <v>140</v>
      </c>
      <c r="O426" s="19"/>
      <c r="P426" s="10">
        <v>39853.082071759258</v>
      </c>
      <c r="Q426" s="20" t="s">
        <v>211</v>
      </c>
      <c r="R426" s="21" t="s">
        <v>212</v>
      </c>
      <c r="S426" s="16" t="s">
        <v>213</v>
      </c>
      <c r="T426" s="15"/>
      <c r="U426" s="14" t="str">
        <f>HYPERLINK("https://pbs.twimg.com/profile_images/619416622705414144/2Tyn4jkC.png","View")</f>
        <v>View</v>
      </c>
    </row>
    <row r="427" spans="1:21" ht="40">
      <c r="A427" s="10">
        <v>43346.111111111109</v>
      </c>
      <c r="B427" s="11" t="str">
        <f>HYPERLINK("https://twitter.com/JulieNAGWalsall","@JulieNAGWalsall")</f>
        <v>@JulieNAGWalsall</v>
      </c>
      <c r="C427" s="12" t="s">
        <v>1024</v>
      </c>
      <c r="D427" s="13" t="s">
        <v>1068</v>
      </c>
      <c r="E427" s="14" t="str">
        <f>HYPERLINK("https://twitter.com/JulieNAGWalsall/status/1036549361608613888","1036549361608613888")</f>
        <v>1036549361608613888</v>
      </c>
      <c r="F427" s="15"/>
      <c r="G427" s="15"/>
      <c r="H427" s="15"/>
      <c r="I427" s="17">
        <v>0</v>
      </c>
      <c r="J427" s="17">
        <v>2</v>
      </c>
      <c r="K427" s="18" t="str">
        <f>HYPERLINK("http://twitter.com/download/iphone","Twitter for iPhone")</f>
        <v>Twitter for iPhone</v>
      </c>
      <c r="L427" s="17">
        <v>494</v>
      </c>
      <c r="M427" s="17">
        <v>541</v>
      </c>
      <c r="N427" s="17">
        <v>9</v>
      </c>
      <c r="O427" s="19"/>
      <c r="P427" s="10">
        <v>41417.329270833332</v>
      </c>
      <c r="Q427" s="20" t="s">
        <v>1027</v>
      </c>
      <c r="R427" s="21" t="s">
        <v>1028</v>
      </c>
      <c r="S427" s="16" t="s">
        <v>1029</v>
      </c>
      <c r="T427" s="15"/>
      <c r="U427" s="14" t="str">
        <f>HYPERLINK("https://pbs.twimg.com/profile_images/987352843727376384/P-uDgPZY.jpg","View")</f>
        <v>View</v>
      </c>
    </row>
    <row r="428" spans="1:21" ht="30">
      <c r="A428" s="10">
        <v>43346.11109953704</v>
      </c>
      <c r="B428" s="11" t="str">
        <f>HYPERLINK("https://twitter.com/WilliamKilbride","@WilliamKilbride")</f>
        <v>@WilliamKilbride</v>
      </c>
      <c r="C428" s="12" t="s">
        <v>49</v>
      </c>
      <c r="D428" s="13" t="s">
        <v>1069</v>
      </c>
      <c r="E428" s="14" t="str">
        <f>HYPERLINK("https://twitter.com/WilliamKilbride/status/1036549358773264389","1036549358773264389")</f>
        <v>1036549358773264389</v>
      </c>
      <c r="F428" s="15"/>
      <c r="G428" s="15"/>
      <c r="H428" s="15"/>
      <c r="I428" s="17">
        <v>1</v>
      </c>
      <c r="J428" s="17">
        <v>1</v>
      </c>
      <c r="K428" s="18" t="str">
        <f>HYPERLINK("https://about.twitter.com/products/tweetdeck","TweetDeck")</f>
        <v>TweetDeck</v>
      </c>
      <c r="L428" s="17">
        <v>3065</v>
      </c>
      <c r="M428" s="17">
        <v>582</v>
      </c>
      <c r="N428" s="17">
        <v>180</v>
      </c>
      <c r="O428" s="19"/>
      <c r="P428" s="10">
        <v>39917.310949074075</v>
      </c>
      <c r="Q428" s="20" t="s">
        <v>51</v>
      </c>
      <c r="R428" s="21" t="s">
        <v>52</v>
      </c>
      <c r="S428" s="16" t="s">
        <v>53</v>
      </c>
      <c r="T428" s="15"/>
      <c r="U428" s="14" t="str">
        <f>HYPERLINK("https://pbs.twimg.com/profile_images/606802634499080192/ZWLKLGdh.png","View")</f>
        <v>View</v>
      </c>
    </row>
    <row r="429" spans="1:21" ht="30">
      <c r="A429" s="10">
        <v>43346.110972222217</v>
      </c>
      <c r="B429" s="11" t="str">
        <f>HYPERLINK("https://twitter.com/ellie__miles","@ellie__miles")</f>
        <v>@ellie__miles</v>
      </c>
      <c r="C429" s="12" t="s">
        <v>227</v>
      </c>
      <c r="D429" s="13" t="s">
        <v>1070</v>
      </c>
      <c r="E429" s="14" t="str">
        <f>HYPERLINK("https://twitter.com/ellie__miles/status/1036549311885180928","1036549311885180928")</f>
        <v>1036549311885180928</v>
      </c>
      <c r="F429" s="15"/>
      <c r="G429" s="15"/>
      <c r="H429" s="15"/>
      <c r="I429" s="17">
        <v>0</v>
      </c>
      <c r="J429" s="17">
        <v>4</v>
      </c>
      <c r="K429" s="18" t="str">
        <f>HYPERLINK("https://mobile.twitter.com","Twitter Lite")</f>
        <v>Twitter Lite</v>
      </c>
      <c r="L429" s="17">
        <v>1051</v>
      </c>
      <c r="M429" s="17">
        <v>645</v>
      </c>
      <c r="N429" s="17">
        <v>29</v>
      </c>
      <c r="O429" s="19"/>
      <c r="P429" s="10">
        <v>41065.331909722227</v>
      </c>
      <c r="Q429" s="20" t="s">
        <v>56</v>
      </c>
      <c r="R429" s="21" t="s">
        <v>229</v>
      </c>
      <c r="S429" s="16" t="s">
        <v>230</v>
      </c>
      <c r="T429" s="15"/>
      <c r="U429" s="14" t="str">
        <f>HYPERLINK("https://pbs.twimg.com/profile_images/1017465512325009408/sUSUo4fg.jpg","View")</f>
        <v>View</v>
      </c>
    </row>
    <row r="430" spans="1:21" ht="30">
      <c r="A430" s="10">
        <v>43346.110763888893</v>
      </c>
      <c r="B430" s="11" t="str">
        <f>HYPERLINK("https://twitter.com/VikingJunky","@VikingJunky")</f>
        <v>@VikingJunky</v>
      </c>
      <c r="C430" s="12" t="s">
        <v>261</v>
      </c>
      <c r="D430" s="13" t="s">
        <v>1071</v>
      </c>
      <c r="E430" s="14" t="str">
        <f>HYPERLINK("https://twitter.com/VikingJunky/status/1036549235876024320","1036549235876024320")</f>
        <v>1036549235876024320</v>
      </c>
      <c r="F430" s="15"/>
      <c r="G430" s="16" t="s">
        <v>1072</v>
      </c>
      <c r="H430" s="15"/>
      <c r="I430" s="17">
        <v>1</v>
      </c>
      <c r="J430" s="17">
        <v>9</v>
      </c>
      <c r="K430" s="18" t="str">
        <f t="shared" ref="K430:K432" si="99">HYPERLINK("http://twitter.com/download/android","Twitter for Android")</f>
        <v>Twitter for Android</v>
      </c>
      <c r="L430" s="17">
        <v>89</v>
      </c>
      <c r="M430" s="17">
        <v>351</v>
      </c>
      <c r="N430" s="17">
        <v>4</v>
      </c>
      <c r="O430" s="19"/>
      <c r="P430" s="10">
        <v>41612.340254629627</v>
      </c>
      <c r="Q430" s="20" t="s">
        <v>220</v>
      </c>
      <c r="R430" s="21" t="s">
        <v>264</v>
      </c>
      <c r="S430" s="15"/>
      <c r="T430" s="15"/>
      <c r="U430" s="14" t="str">
        <f>HYPERLINK("https://pbs.twimg.com/profile_images/1002846620017360896/krg2KG-n.jpg","View")</f>
        <v>View</v>
      </c>
    </row>
    <row r="431" spans="1:21" ht="40">
      <c r="A431" s="10">
        <v>43346.110717592594</v>
      </c>
      <c r="B431" s="11" t="str">
        <f>HYPERLINK("https://twitter.com/lisamgriffith","@lisamgriffith")</f>
        <v>@lisamgriffith</v>
      </c>
      <c r="C431" s="12" t="s">
        <v>756</v>
      </c>
      <c r="D431" s="13" t="s">
        <v>1073</v>
      </c>
      <c r="E431" s="14" t="str">
        <f>HYPERLINK("https://twitter.com/lisamgriffith/status/1036549217001590785","1036549217001590785")</f>
        <v>1036549217001590785</v>
      </c>
      <c r="F431" s="15"/>
      <c r="G431" s="16" t="s">
        <v>1074</v>
      </c>
      <c r="H431" s="15"/>
      <c r="I431" s="17">
        <v>0</v>
      </c>
      <c r="J431" s="17">
        <v>3</v>
      </c>
      <c r="K431" s="18" t="str">
        <f t="shared" si="99"/>
        <v>Twitter for Android</v>
      </c>
      <c r="L431" s="17">
        <v>1235</v>
      </c>
      <c r="M431" s="17">
        <v>1185</v>
      </c>
      <c r="N431" s="17">
        <v>39</v>
      </c>
      <c r="O431" s="19"/>
      <c r="P431" s="10">
        <v>40619.293078703704</v>
      </c>
      <c r="Q431" s="20" t="s">
        <v>375</v>
      </c>
      <c r="R431" s="21" t="s">
        <v>759</v>
      </c>
      <c r="S431" s="16" t="s">
        <v>760</v>
      </c>
      <c r="T431" s="15"/>
      <c r="U431" s="14" t="str">
        <f>HYPERLINK("https://pbs.twimg.com/profile_images/1013113472601743361/eLE_Xk7U.jpg","View")</f>
        <v>View</v>
      </c>
    </row>
    <row r="432" spans="1:21" ht="20">
      <c r="A432" s="10">
        <v>43346.110578703709</v>
      </c>
      <c r="B432" s="11" t="str">
        <f>HYPERLINK("https://twitter.com/rd_palmer","@rd_palmer")</f>
        <v>@rd_palmer</v>
      </c>
      <c r="C432" s="12" t="s">
        <v>1075</v>
      </c>
      <c r="D432" s="13" t="s">
        <v>1076</v>
      </c>
      <c r="E432" s="14" t="str">
        <f>HYPERLINK("https://twitter.com/rd_palmer/status/1036549167915651073","1036549167915651073")</f>
        <v>1036549167915651073</v>
      </c>
      <c r="F432" s="15"/>
      <c r="G432" s="15"/>
      <c r="H432" s="15"/>
      <c r="I432" s="17">
        <v>0</v>
      </c>
      <c r="J432" s="17">
        <v>3</v>
      </c>
      <c r="K432" s="18" t="str">
        <f t="shared" si="99"/>
        <v>Twitter for Android</v>
      </c>
      <c r="L432" s="17">
        <v>466</v>
      </c>
      <c r="M432" s="17">
        <v>2142</v>
      </c>
      <c r="N432" s="17">
        <v>12</v>
      </c>
      <c r="O432" s="19"/>
      <c r="P432" s="10">
        <v>40057.15525462963</v>
      </c>
      <c r="Q432" s="20" t="s">
        <v>56</v>
      </c>
      <c r="R432" s="21" t="s">
        <v>1077</v>
      </c>
      <c r="S432" s="15"/>
      <c r="T432" s="15"/>
      <c r="U432" s="14" t="str">
        <f>HYPERLINK("https://pbs.twimg.com/profile_images/681638409144778752/mGU4thcR.png","View")</f>
        <v>View</v>
      </c>
    </row>
    <row r="433" spans="1:21" ht="40">
      <c r="A433" s="10">
        <v>43346.110358796301</v>
      </c>
      <c r="B433" s="11" t="str">
        <f>HYPERLINK("https://twitter.com/ArchaeologySoph","@ArchaeologySoph")</f>
        <v>@ArchaeologySoph</v>
      </c>
      <c r="C433" s="12" t="s">
        <v>1078</v>
      </c>
      <c r="D433" s="13" t="s">
        <v>1079</v>
      </c>
      <c r="E433" s="14" t="str">
        <f>HYPERLINK("https://twitter.com/ArchaeologySoph/status/1036549088198709248","1036549088198709248")</f>
        <v>1036549088198709248</v>
      </c>
      <c r="F433" s="15"/>
      <c r="G433" s="16" t="s">
        <v>1016</v>
      </c>
      <c r="H433" s="15"/>
      <c r="I433" s="17">
        <v>0</v>
      </c>
      <c r="J433" s="17">
        <v>16</v>
      </c>
      <c r="K433" s="18" t="str">
        <f t="shared" ref="K433:K434" si="100">HYPERLINK("http://twitter.com/download/iphone","Twitter for iPhone")</f>
        <v>Twitter for iPhone</v>
      </c>
      <c r="L433" s="17">
        <v>363</v>
      </c>
      <c r="M433" s="17">
        <v>898</v>
      </c>
      <c r="N433" s="17">
        <v>20</v>
      </c>
      <c r="O433" s="19"/>
      <c r="P433" s="10">
        <v>40697.061967592592</v>
      </c>
      <c r="Q433" s="15"/>
      <c r="R433" s="21" t="s">
        <v>1080</v>
      </c>
      <c r="S433" s="15"/>
      <c r="T433" s="15"/>
      <c r="U433" s="14" t="str">
        <f>HYPERLINK("https://pbs.twimg.com/profile_images/894297009565429760/tThfSxCj.jpg","View")</f>
        <v>View</v>
      </c>
    </row>
    <row r="434" spans="1:21" ht="40">
      <c r="A434" s="10">
        <v>43346.109918981485</v>
      </c>
      <c r="B434" s="11" t="str">
        <f>HYPERLINK("https://twitter.com/natalieharrower","@natalieharrower")</f>
        <v>@natalieharrower</v>
      </c>
      <c r="C434" s="12" t="s">
        <v>59</v>
      </c>
      <c r="D434" s="13" t="s">
        <v>1081</v>
      </c>
      <c r="E434" s="14" t="str">
        <f>HYPERLINK("https://twitter.com/natalieharrower/status/1036548930195087360","1036548930195087360")</f>
        <v>1036548930195087360</v>
      </c>
      <c r="F434" s="16" t="s">
        <v>1082</v>
      </c>
      <c r="G434" s="16" t="s">
        <v>1083</v>
      </c>
      <c r="H434" s="15"/>
      <c r="I434" s="17">
        <v>3</v>
      </c>
      <c r="J434" s="17">
        <v>8</v>
      </c>
      <c r="K434" s="18" t="str">
        <f t="shared" si="100"/>
        <v>Twitter for iPhone</v>
      </c>
      <c r="L434" s="17">
        <v>2422</v>
      </c>
      <c r="M434" s="17">
        <v>2344</v>
      </c>
      <c r="N434" s="17">
        <v>164</v>
      </c>
      <c r="O434" s="19"/>
      <c r="P434" s="10">
        <v>39751.545844907407</v>
      </c>
      <c r="Q434" s="20" t="s">
        <v>61</v>
      </c>
      <c r="R434" s="21" t="s">
        <v>62</v>
      </c>
      <c r="S434" s="16" t="s">
        <v>63</v>
      </c>
      <c r="T434" s="15"/>
      <c r="U434" s="14" t="str">
        <f>HYPERLINK("https://pbs.twimg.com/profile_images/992918977172000769/pPUq69N4.jpg","View")</f>
        <v>View</v>
      </c>
    </row>
    <row r="435" spans="1:21" ht="12.5">
      <c r="A435" s="10">
        <v>43346.109849537039</v>
      </c>
      <c r="B435" s="11" t="str">
        <f>HYPERLINK("https://twitter.com/zenlan","@zenlan")</f>
        <v>@zenlan</v>
      </c>
      <c r="C435" s="12" t="s">
        <v>919</v>
      </c>
      <c r="D435" s="13" t="s">
        <v>1084</v>
      </c>
      <c r="E435" s="14" t="str">
        <f>HYPERLINK("https://twitter.com/zenlan/status/1036548904144314368","1036548904144314368")</f>
        <v>1036548904144314368</v>
      </c>
      <c r="F435" s="15"/>
      <c r="G435" s="15"/>
      <c r="H435" s="15"/>
      <c r="I435" s="17">
        <v>0</v>
      </c>
      <c r="J435" s="17">
        <v>0</v>
      </c>
      <c r="K435" s="18" t="str">
        <f>HYPERLINK("http://twitter.com/download/android","Twitter for Android")</f>
        <v>Twitter for Android</v>
      </c>
      <c r="L435" s="17">
        <v>341</v>
      </c>
      <c r="M435" s="17">
        <v>708</v>
      </c>
      <c r="N435" s="17">
        <v>15</v>
      </c>
      <c r="O435" s="19"/>
      <c r="P435" s="10">
        <v>39785.49055555556</v>
      </c>
      <c r="Q435" s="20" t="s">
        <v>56</v>
      </c>
      <c r="R435" s="21" t="s">
        <v>922</v>
      </c>
      <c r="S435" s="16" t="s">
        <v>923</v>
      </c>
      <c r="T435" s="15"/>
      <c r="U435" s="14" t="str">
        <f>HYPERLINK("https://pbs.twimg.com/profile_images/66241511/hyp-black.jpg","View")</f>
        <v>View</v>
      </c>
    </row>
    <row r="436" spans="1:21" ht="40">
      <c r="A436" s="10">
        <v>43346.109212962961</v>
      </c>
      <c r="B436" s="11" t="str">
        <f>HYPERLINK("https://twitter.com/Preservica","@Preservica")</f>
        <v>@Preservica</v>
      </c>
      <c r="C436" s="12" t="s">
        <v>293</v>
      </c>
      <c r="D436" s="13" t="s">
        <v>1085</v>
      </c>
      <c r="E436" s="14" t="str">
        <f>HYPERLINK("https://twitter.com/Preservica/status/1036548675126878209","1036548675126878209")</f>
        <v>1036548675126878209</v>
      </c>
      <c r="F436" s="15"/>
      <c r="G436" s="16" t="s">
        <v>1086</v>
      </c>
      <c r="H436" s="15"/>
      <c r="I436" s="17">
        <v>2</v>
      </c>
      <c r="J436" s="17">
        <v>6</v>
      </c>
      <c r="K436" s="18" t="str">
        <f>HYPERLINK("http://twitter.com","Twitter Web Client")</f>
        <v>Twitter Web Client</v>
      </c>
      <c r="L436" s="17">
        <v>1470</v>
      </c>
      <c r="M436" s="17">
        <v>4014</v>
      </c>
      <c r="N436" s="17">
        <v>69</v>
      </c>
      <c r="O436" s="19"/>
      <c r="P436" s="10">
        <v>40861.08699074074</v>
      </c>
      <c r="Q436" s="20" t="s">
        <v>296</v>
      </c>
      <c r="R436" s="21" t="s">
        <v>297</v>
      </c>
      <c r="S436" s="16" t="s">
        <v>298</v>
      </c>
      <c r="T436" s="15"/>
      <c r="U436" s="14" t="str">
        <f>HYPERLINK("https://pbs.twimg.com/profile_images/889516888786685952/nPCksBMu.jpg","View")</f>
        <v>View</v>
      </c>
    </row>
    <row r="437" spans="1:21" ht="40">
      <c r="A437" s="10">
        <v>43346.10837962963</v>
      </c>
      <c r="B437" s="11" t="str">
        <f>HYPERLINK("https://twitter.com/steph_fuller","@steph_fuller")</f>
        <v>@steph_fuller</v>
      </c>
      <c r="C437" s="12" t="s">
        <v>552</v>
      </c>
      <c r="D437" s="13" t="s">
        <v>1087</v>
      </c>
      <c r="E437" s="14" t="str">
        <f>HYPERLINK("https://twitter.com/steph_fuller/status/1036548371287367683","1036548371287367683")</f>
        <v>1036548371287367683</v>
      </c>
      <c r="F437" s="15"/>
      <c r="G437" s="16" t="s">
        <v>1088</v>
      </c>
      <c r="H437" s="15"/>
      <c r="I437" s="17">
        <v>0</v>
      </c>
      <c r="J437" s="17">
        <v>1</v>
      </c>
      <c r="K437" s="18" t="str">
        <f>HYPERLINK("http://twitter.com/#!/download/ipad","Twitter for iPad")</f>
        <v>Twitter for iPad</v>
      </c>
      <c r="L437" s="17">
        <v>1922</v>
      </c>
      <c r="M437" s="17">
        <v>1876</v>
      </c>
      <c r="N437" s="17">
        <v>81</v>
      </c>
      <c r="O437" s="19"/>
      <c r="P437" s="10">
        <v>40510.466377314813</v>
      </c>
      <c r="Q437" s="20" t="s">
        <v>554</v>
      </c>
      <c r="R437" s="21" t="s">
        <v>555</v>
      </c>
      <c r="S437" s="15"/>
      <c r="T437" s="15"/>
      <c r="U437" s="14" t="str">
        <f>HYPERLINK("https://pbs.twimg.com/profile_images/609068622011621376/HqYsjVOU.jpg","View")</f>
        <v>View</v>
      </c>
    </row>
    <row r="438" spans="1:21" ht="20">
      <c r="A438" s="10">
        <v>43346.107349537036</v>
      </c>
      <c r="B438" s="11" t="str">
        <f>HYPERLINK("https://twitter.com/Sarah_DPC","@Sarah_DPC")</f>
        <v>@Sarah_DPC</v>
      </c>
      <c r="C438" s="12" t="s">
        <v>178</v>
      </c>
      <c r="D438" s="13" t="s">
        <v>1089</v>
      </c>
      <c r="E438" s="14" t="str">
        <f>HYPERLINK("https://twitter.com/Sarah_DPC/status/1036547999198007296","1036547999198007296")</f>
        <v>1036547999198007296</v>
      </c>
      <c r="F438" s="15"/>
      <c r="G438" s="16" t="s">
        <v>1090</v>
      </c>
      <c r="H438" s="15"/>
      <c r="I438" s="17">
        <v>1</v>
      </c>
      <c r="J438" s="17">
        <v>7</v>
      </c>
      <c r="K438" s="18" t="str">
        <f>HYPERLINK("http://twitter.com/download/android","Twitter for Android")</f>
        <v>Twitter for Android</v>
      </c>
      <c r="L438" s="17">
        <v>1270</v>
      </c>
      <c r="M438" s="17">
        <v>715</v>
      </c>
      <c r="N438" s="17">
        <v>51</v>
      </c>
      <c r="O438" s="19"/>
      <c r="P438" s="10">
        <v>41373.188576388886</v>
      </c>
      <c r="Q438" s="20" t="s">
        <v>180</v>
      </c>
      <c r="R438" s="21" t="s">
        <v>181</v>
      </c>
      <c r="S438" s="16" t="s">
        <v>182</v>
      </c>
      <c r="T438" s="15"/>
      <c r="U438" s="14" t="str">
        <f>HYPERLINK("https://pbs.twimg.com/profile_images/867263862726434816/K2qoO6sD.jpg","View")</f>
        <v>View</v>
      </c>
    </row>
    <row r="439" spans="1:21" ht="20">
      <c r="A439" s="10">
        <v>43346.106967592597</v>
      </c>
      <c r="B439" s="11" t="str">
        <f>HYPERLINK("https://twitter.com/paulstewart90","@paulstewart90")</f>
        <v>@paulstewart90</v>
      </c>
      <c r="C439" s="12" t="s">
        <v>606</v>
      </c>
      <c r="D439" s="13" t="s">
        <v>1091</v>
      </c>
      <c r="E439" s="14" t="str">
        <f>HYPERLINK("https://twitter.com/paulstewart90/status/1036547860949594113","1036547860949594113")</f>
        <v>1036547860949594113</v>
      </c>
      <c r="F439" s="15"/>
      <c r="G439" s="16" t="s">
        <v>330</v>
      </c>
      <c r="H439" s="15"/>
      <c r="I439" s="17">
        <v>2</v>
      </c>
      <c r="J439" s="17">
        <v>6</v>
      </c>
      <c r="K439" s="18" t="str">
        <f t="shared" ref="K439:K441" si="101">HYPERLINK("http://twitter.com/download/iphone","Twitter for iPhone")</f>
        <v>Twitter for iPhone</v>
      </c>
      <c r="L439" s="17">
        <v>185</v>
      </c>
      <c r="M439" s="17">
        <v>294</v>
      </c>
      <c r="N439" s="17">
        <v>12</v>
      </c>
      <c r="O439" s="19"/>
      <c r="P439" s="10">
        <v>39989.485231481478</v>
      </c>
      <c r="Q439" s="20" t="s">
        <v>56</v>
      </c>
      <c r="R439" s="21" t="s">
        <v>608</v>
      </c>
      <c r="S439" s="16" t="s">
        <v>609</v>
      </c>
      <c r="T439" s="15"/>
      <c r="U439" s="14" t="str">
        <f>HYPERLINK("https://pbs.twimg.com/profile_images/691943262853144577/lljEOJ4W.png","View")</f>
        <v>View</v>
      </c>
    </row>
    <row r="440" spans="1:21" ht="30">
      <c r="A440" s="10">
        <v>43346.106759259259</v>
      </c>
      <c r="B440" s="11" t="str">
        <f>HYPERLINK("https://twitter.com/mimacurator","@mimacurator")</f>
        <v>@mimacurator</v>
      </c>
      <c r="C440" s="12" t="s">
        <v>72</v>
      </c>
      <c r="D440" s="13" t="s">
        <v>1092</v>
      </c>
      <c r="E440" s="14" t="str">
        <f>HYPERLINK("https://twitter.com/mimacurator/status/1036547784906866688","1036547784906866688")</f>
        <v>1036547784906866688</v>
      </c>
      <c r="F440" s="15"/>
      <c r="G440" s="16" t="s">
        <v>1093</v>
      </c>
      <c r="H440" s="15"/>
      <c r="I440" s="17">
        <v>1</v>
      </c>
      <c r="J440" s="17">
        <v>11</v>
      </c>
      <c r="K440" s="18" t="str">
        <f t="shared" si="101"/>
        <v>Twitter for iPhone</v>
      </c>
      <c r="L440" s="17">
        <v>1485</v>
      </c>
      <c r="M440" s="17">
        <v>1545</v>
      </c>
      <c r="N440" s="17">
        <v>17</v>
      </c>
      <c r="O440" s="19"/>
      <c r="P440" s="10">
        <v>42158.364062499997</v>
      </c>
      <c r="Q440" s="20" t="s">
        <v>75</v>
      </c>
      <c r="R440" s="21" t="s">
        <v>76</v>
      </c>
      <c r="S440" s="16" t="s">
        <v>77</v>
      </c>
      <c r="T440" s="15"/>
      <c r="U440" s="14" t="str">
        <f>HYPERLINK("https://pbs.twimg.com/profile_images/999402990707531776/aIqt6a1B.jpg","View")</f>
        <v>View</v>
      </c>
    </row>
    <row r="441" spans="1:21" ht="40">
      <c r="A441" s="10">
        <v>43346.104942129634</v>
      </c>
      <c r="B441" s="11" t="str">
        <f>HYPERLINK("https://twitter.com/Jenny_R_Lee","@Jenny_R_Lee")</f>
        <v>@Jenny_R_Lee</v>
      </c>
      <c r="C441" s="12" t="s">
        <v>1008</v>
      </c>
      <c r="D441" s="13" t="s">
        <v>1094</v>
      </c>
      <c r="E441" s="14" t="str">
        <f>HYPERLINK("https://twitter.com/Jenny_R_Lee/status/1036547127441285121","1036547127441285121")</f>
        <v>1036547127441285121</v>
      </c>
      <c r="F441" s="15"/>
      <c r="G441" s="16" t="s">
        <v>1095</v>
      </c>
      <c r="H441" s="15"/>
      <c r="I441" s="17">
        <v>5</v>
      </c>
      <c r="J441" s="17">
        <v>20</v>
      </c>
      <c r="K441" s="18" t="str">
        <f t="shared" si="101"/>
        <v>Twitter for iPhone</v>
      </c>
      <c r="L441" s="17">
        <v>288</v>
      </c>
      <c r="M441" s="17">
        <v>839</v>
      </c>
      <c r="N441" s="17">
        <v>0</v>
      </c>
      <c r="O441" s="19"/>
      <c r="P441" s="10">
        <v>40759.185902777775</v>
      </c>
      <c r="Q441" s="20" t="s">
        <v>1010</v>
      </c>
      <c r="R441" s="21" t="s">
        <v>1011</v>
      </c>
      <c r="S441" s="16" t="s">
        <v>1012</v>
      </c>
      <c r="T441" s="15"/>
      <c r="U441" s="14" t="str">
        <f>HYPERLINK("https://pbs.twimg.com/profile_images/895298155004272640/3Q8j5qVW.jpg","View")</f>
        <v>View</v>
      </c>
    </row>
    <row r="442" spans="1:21" ht="30">
      <c r="A442" s="10">
        <v>43346.103761574079</v>
      </c>
      <c r="B442" s="11" t="str">
        <f>HYPERLINK("https://twitter.com/trudie78","@trudie78")</f>
        <v>@trudie78</v>
      </c>
      <c r="C442" s="12" t="s">
        <v>852</v>
      </c>
      <c r="D442" s="13" t="s">
        <v>1096</v>
      </c>
      <c r="E442" s="14" t="str">
        <f>HYPERLINK("https://twitter.com/trudie78/status/1036546698078760960","1036546698078760960")</f>
        <v>1036546698078760960</v>
      </c>
      <c r="F442" s="15"/>
      <c r="G442" s="16" t="s">
        <v>1097</v>
      </c>
      <c r="H442" s="15"/>
      <c r="I442" s="17">
        <v>0</v>
      </c>
      <c r="J442" s="17">
        <v>1</v>
      </c>
      <c r="K442" s="18" t="str">
        <f>HYPERLINK("http://twitter.com/#!/download/ipad","Twitter for iPad")</f>
        <v>Twitter for iPad</v>
      </c>
      <c r="L442" s="17">
        <v>106</v>
      </c>
      <c r="M442" s="17">
        <v>203</v>
      </c>
      <c r="N442" s="17">
        <v>6</v>
      </c>
      <c r="O442" s="19"/>
      <c r="P442" s="10">
        <v>40446.341226851851</v>
      </c>
      <c r="Q442" s="20" t="s">
        <v>854</v>
      </c>
      <c r="R442" s="21" t="s">
        <v>855</v>
      </c>
      <c r="S442" s="15"/>
      <c r="T442" s="15"/>
      <c r="U442" s="14" t="str">
        <f>HYPERLINK("https://pbs.twimg.com/profile_images/472309585836249088/l1b0ba11.jpeg","View")</f>
        <v>View</v>
      </c>
    </row>
    <row r="443" spans="1:21" ht="40">
      <c r="A443" s="10">
        <v>43346.103263888886</v>
      </c>
      <c r="B443" s="11" t="str">
        <f>HYPERLINK("https://twitter.com/PenleeHouse","@PenleeHouse")</f>
        <v>@PenleeHouse</v>
      </c>
      <c r="C443" s="12" t="s">
        <v>1098</v>
      </c>
      <c r="D443" s="13" t="s">
        <v>1099</v>
      </c>
      <c r="E443" s="14" t="str">
        <f>HYPERLINK("https://twitter.com/PenleeHouse/status/1036546518180921345","1036546518180921345")</f>
        <v>1036546518180921345</v>
      </c>
      <c r="F443" s="15"/>
      <c r="G443" s="16" t="s">
        <v>1100</v>
      </c>
      <c r="H443" s="15"/>
      <c r="I443" s="17">
        <v>0</v>
      </c>
      <c r="J443" s="17">
        <v>5</v>
      </c>
      <c r="K443" s="18" t="str">
        <f>HYPERLINK("http://twitter.com/download/iphone","Twitter for iPhone")</f>
        <v>Twitter for iPhone</v>
      </c>
      <c r="L443" s="17">
        <v>2476</v>
      </c>
      <c r="M443" s="17">
        <v>205</v>
      </c>
      <c r="N443" s="17">
        <v>47</v>
      </c>
      <c r="O443" s="19"/>
      <c r="P443" s="10">
        <v>40718.249502314815</v>
      </c>
      <c r="Q443" s="20" t="s">
        <v>1101</v>
      </c>
      <c r="R443" s="21" t="s">
        <v>1102</v>
      </c>
      <c r="S443" s="16" t="s">
        <v>1103</v>
      </c>
      <c r="T443" s="15"/>
      <c r="U443" s="14" t="str">
        <f>HYPERLINK("https://pbs.twimg.com/profile_images/1001827357710266370/ozRbYX0U.jpg","View")</f>
        <v>View</v>
      </c>
    </row>
    <row r="444" spans="1:21" ht="40">
      <c r="A444" s="10">
        <v>43346.094085648147</v>
      </c>
      <c r="B444" s="11" t="str">
        <f>HYPERLINK("https://twitter.com/DEJPett","@DEJPett")</f>
        <v>@DEJPett</v>
      </c>
      <c r="C444" s="12" t="s">
        <v>1104</v>
      </c>
      <c r="D444" s="13" t="s">
        <v>1105</v>
      </c>
      <c r="E444" s="14" t="str">
        <f>HYPERLINK("https://twitter.com/DEJPett/status/1036543192550842369","1036543192550842369")</f>
        <v>1036543192550842369</v>
      </c>
      <c r="F444" s="15"/>
      <c r="G444" s="15"/>
      <c r="H444" s="15"/>
      <c r="I444" s="17">
        <v>10</v>
      </c>
      <c r="J444" s="17">
        <v>32</v>
      </c>
      <c r="K444" s="18" t="str">
        <f>HYPERLINK("http://twitter.com","Twitter Web Client")</f>
        <v>Twitter Web Client</v>
      </c>
      <c r="L444" s="17">
        <v>7711</v>
      </c>
      <c r="M444" s="17">
        <v>2641</v>
      </c>
      <c r="N444" s="17">
        <v>394</v>
      </c>
      <c r="O444" s="23" t="s">
        <v>319</v>
      </c>
      <c r="P444" s="10">
        <v>39471.265555555554</v>
      </c>
      <c r="Q444" s="20" t="s">
        <v>1106</v>
      </c>
      <c r="R444" s="21" t="s">
        <v>1107</v>
      </c>
      <c r="S444" s="16" t="s">
        <v>1108</v>
      </c>
      <c r="T444" s="15"/>
      <c r="U444" s="14" t="str">
        <f>HYPERLINK("https://pbs.twimg.com/profile_images/914843379439214592/pi0K43PJ.jpg","View")</f>
        <v>View</v>
      </c>
    </row>
    <row r="445" spans="1:21" ht="30">
      <c r="A445" s="10">
        <v>43346.091006944444</v>
      </c>
      <c r="B445" s="11" t="str">
        <f>HYPERLINK("https://twitter.com/dri_ireland","@dri_ireland")</f>
        <v>@dri_ireland</v>
      </c>
      <c r="C445" s="12" t="s">
        <v>197</v>
      </c>
      <c r="D445" s="13" t="s">
        <v>1109</v>
      </c>
      <c r="E445" s="14" t="str">
        <f>HYPERLINK("https://twitter.com/dri_ireland/status/1036542075334995968","1036542075334995968")</f>
        <v>1036542075334995968</v>
      </c>
      <c r="F445" s="16" t="s">
        <v>1110</v>
      </c>
      <c r="G445" s="16" t="s">
        <v>1111</v>
      </c>
      <c r="H445" s="15"/>
      <c r="I445" s="17">
        <v>1</v>
      </c>
      <c r="J445" s="17">
        <v>8</v>
      </c>
      <c r="K445" s="18" t="str">
        <f>HYPERLINK("http://twitter.com/download/android","Twitter for Android")</f>
        <v>Twitter for Android</v>
      </c>
      <c r="L445" s="17">
        <v>6134</v>
      </c>
      <c r="M445" s="17">
        <v>1732</v>
      </c>
      <c r="N445" s="17">
        <v>249</v>
      </c>
      <c r="O445" s="19"/>
      <c r="P445" s="10">
        <v>41172.215312500004</v>
      </c>
      <c r="Q445" s="20" t="s">
        <v>200</v>
      </c>
      <c r="R445" s="21" t="s">
        <v>201</v>
      </c>
      <c r="S445" s="16" t="s">
        <v>202</v>
      </c>
      <c r="T445" s="15"/>
      <c r="U445" s="14" t="str">
        <f>HYPERLINK("https://pbs.twimg.com/profile_images/603126975268581376/cGZW7aU3.jpg","View")</f>
        <v>View</v>
      </c>
    </row>
    <row r="446" spans="1:21" ht="20">
      <c r="A446" s="10">
        <v>43346.083425925928</v>
      </c>
      <c r="B446" s="11" t="str">
        <f>HYPERLINK("https://twitter.com/Karen_Bell_","@Karen_Bell_")</f>
        <v>@Karen_Bell_</v>
      </c>
      <c r="C446" s="12" t="s">
        <v>1112</v>
      </c>
      <c r="D446" s="13" t="s">
        <v>1113</v>
      </c>
      <c r="E446" s="14" t="str">
        <f>HYPERLINK("https://twitter.com/Karen_Bell_/status/1036539329424908293","1036539329424908293")</f>
        <v>1036539329424908293</v>
      </c>
      <c r="F446" s="15"/>
      <c r="G446" s="15"/>
      <c r="H446" s="15"/>
      <c r="I446" s="17">
        <v>1</v>
      </c>
      <c r="J446" s="17">
        <v>7</v>
      </c>
      <c r="K446" s="18" t="str">
        <f t="shared" ref="K446:K448" si="102">HYPERLINK("http://twitter.com/download/iphone","Twitter for iPhone")</f>
        <v>Twitter for iPhone</v>
      </c>
      <c r="L446" s="17">
        <v>90</v>
      </c>
      <c r="M446" s="17">
        <v>112</v>
      </c>
      <c r="N446" s="17">
        <v>0</v>
      </c>
      <c r="O446" s="19"/>
      <c r="P446" s="10">
        <v>40869.42255787037</v>
      </c>
      <c r="Q446" s="20" t="s">
        <v>789</v>
      </c>
      <c r="R446" s="21" t="s">
        <v>1114</v>
      </c>
      <c r="S446" s="15"/>
      <c r="T446" s="15"/>
      <c r="U446" s="14" t="str">
        <f>HYPERLINK("https://pbs.twimg.com/profile_images/3682638380/5cceb3bdea2d1eee5e7f2b218be9441a.jpeg","View")</f>
        <v>View</v>
      </c>
    </row>
    <row r="447" spans="1:21" ht="40">
      <c r="A447" s="10">
        <v>43346.081712962958</v>
      </c>
      <c r="B447" s="11" t="str">
        <f>HYPERLINK("https://twitter.com/DrCaiParryJones","@DrCaiParryJones")</f>
        <v>@DrCaiParryJones</v>
      </c>
      <c r="C447" s="12" t="s">
        <v>1115</v>
      </c>
      <c r="D447" s="13" t="s">
        <v>1116</v>
      </c>
      <c r="E447" s="14" t="str">
        <f>HYPERLINK("https://twitter.com/DrCaiParryJones/status/1036538705740275712","1036538705740275712")</f>
        <v>1036538705740275712</v>
      </c>
      <c r="F447" s="15"/>
      <c r="G447" s="16" t="s">
        <v>1117</v>
      </c>
      <c r="H447" s="15"/>
      <c r="I447" s="17">
        <v>0</v>
      </c>
      <c r="J447" s="17">
        <v>3</v>
      </c>
      <c r="K447" s="18" t="str">
        <f t="shared" si="102"/>
        <v>Twitter for iPhone</v>
      </c>
      <c r="L447" s="17">
        <v>876</v>
      </c>
      <c r="M447" s="17">
        <v>544</v>
      </c>
      <c r="N447" s="17">
        <v>19</v>
      </c>
      <c r="O447" s="19"/>
      <c r="P447" s="10">
        <v>40768.407442129632</v>
      </c>
      <c r="Q447" s="20" t="s">
        <v>41</v>
      </c>
      <c r="R447" s="21" t="s">
        <v>1118</v>
      </c>
      <c r="S447" s="16" t="s">
        <v>1119</v>
      </c>
      <c r="T447" s="15"/>
      <c r="U447" s="14" t="str">
        <f>HYPERLINK("https://pbs.twimg.com/profile_images/953286856334077952/ppAP_7xS.jpg","View")</f>
        <v>View</v>
      </c>
    </row>
    <row r="448" spans="1:21" ht="40">
      <c r="A448" s="10">
        <v>43346.075729166667</v>
      </c>
      <c r="B448" s="11" t="str">
        <f>HYPERLINK("https://twitter.com/Cara_Hirst","@Cara_Hirst")</f>
        <v>@Cara_Hirst</v>
      </c>
      <c r="C448" s="12" t="s">
        <v>37</v>
      </c>
      <c r="D448" s="13" t="s">
        <v>1120</v>
      </c>
      <c r="E448" s="14" t="str">
        <f>HYPERLINK("https://twitter.com/Cara_Hirst/status/1036536537410887680","1036536537410887680")</f>
        <v>1036536537410887680</v>
      </c>
      <c r="F448" s="15"/>
      <c r="G448" s="15"/>
      <c r="H448" s="15"/>
      <c r="I448" s="17">
        <v>0</v>
      </c>
      <c r="J448" s="17">
        <v>7</v>
      </c>
      <c r="K448" s="18" t="str">
        <f t="shared" si="102"/>
        <v>Twitter for iPhone</v>
      </c>
      <c r="L448" s="17">
        <v>107</v>
      </c>
      <c r="M448" s="17">
        <v>126</v>
      </c>
      <c r="N448" s="17">
        <v>0</v>
      </c>
      <c r="O448" s="19"/>
      <c r="P448" s="10">
        <v>42876.36414351852</v>
      </c>
      <c r="Q448" s="20" t="s">
        <v>41</v>
      </c>
      <c r="R448" s="21" t="s">
        <v>42</v>
      </c>
      <c r="S448" s="16" t="s">
        <v>43</v>
      </c>
      <c r="T448" s="15"/>
      <c r="U448" s="14" t="str">
        <f>HYPERLINK("https://pbs.twimg.com/profile_images/1010580953029324800/pVaxjC1u.jpg","View")</f>
        <v>View</v>
      </c>
    </row>
    <row r="449" spans="1:21" ht="50">
      <c r="A449" s="10">
        <v>43346.07030092593</v>
      </c>
      <c r="B449" s="11" t="str">
        <f>HYPERLINK("https://twitter.com/FTHopf","@FTHopf")</f>
        <v>@FTHopf</v>
      </c>
      <c r="C449" s="12" t="s">
        <v>1121</v>
      </c>
      <c r="D449" s="13" t="s">
        <v>1122</v>
      </c>
      <c r="E449" s="14" t="str">
        <f>HYPERLINK("https://twitter.com/FTHopf/status/1036534573474238469","1036534573474238469")</f>
        <v>1036534573474238469</v>
      </c>
      <c r="F449" s="20" t="s">
        <v>1123</v>
      </c>
      <c r="G449" s="15"/>
      <c r="H449" s="15"/>
      <c r="I449" s="17">
        <v>0</v>
      </c>
      <c r="J449" s="17">
        <v>1</v>
      </c>
      <c r="K449" s="18" t="str">
        <f t="shared" ref="K449:K450" si="103">HYPERLINK("http://twitter.com/download/android","Twitter for Android")</f>
        <v>Twitter for Android</v>
      </c>
      <c r="L449" s="17">
        <v>661</v>
      </c>
      <c r="M449" s="17">
        <v>454</v>
      </c>
      <c r="N449" s="17">
        <v>43</v>
      </c>
      <c r="O449" s="19"/>
      <c r="P449" s="10">
        <v>40138.737384259257</v>
      </c>
      <c r="Q449" s="20" t="s">
        <v>1124</v>
      </c>
      <c r="R449" s="21" t="s">
        <v>1125</v>
      </c>
      <c r="S449" s="16" t="s">
        <v>1126</v>
      </c>
      <c r="T449" s="15"/>
      <c r="U449" s="14" t="str">
        <f>HYPERLINK("https://pbs.twimg.com/profile_images/3310758389/fe7d12d41d859faaa79c8cd8341f50d3.jpeg","View")</f>
        <v>View</v>
      </c>
    </row>
    <row r="450" spans="1:21" ht="50">
      <c r="A450" s="10">
        <v>43346.060972222222</v>
      </c>
      <c r="B450" s="11" t="str">
        <f>HYPERLINK("https://twitter.com/CofE_Churchcare","@CofE_Churchcare")</f>
        <v>@CofE_Churchcare</v>
      </c>
      <c r="C450" s="25" t="s">
        <v>1127</v>
      </c>
      <c r="D450" s="13" t="s">
        <v>1128</v>
      </c>
      <c r="E450" s="14" t="str">
        <f>HYPERLINK("https://twitter.com/CofE_Churchcare/status/1036531191363657728","1036531191363657728")</f>
        <v>1036531191363657728</v>
      </c>
      <c r="F450" s="15"/>
      <c r="G450" s="15"/>
      <c r="H450" s="15"/>
      <c r="I450" s="17">
        <v>0</v>
      </c>
      <c r="J450" s="17">
        <v>2</v>
      </c>
      <c r="K450" s="18" t="str">
        <f t="shared" si="103"/>
        <v>Twitter for Android</v>
      </c>
      <c r="L450" s="17">
        <v>3618</v>
      </c>
      <c r="M450" s="17">
        <v>942</v>
      </c>
      <c r="N450" s="17">
        <v>73</v>
      </c>
      <c r="O450" s="19"/>
      <c r="P450" s="10">
        <v>40630.319849537038</v>
      </c>
      <c r="Q450" s="20" t="s">
        <v>1129</v>
      </c>
      <c r="R450" s="21" t="s">
        <v>1130</v>
      </c>
      <c r="S450" s="16" t="s">
        <v>1131</v>
      </c>
      <c r="T450" s="15"/>
      <c r="U450" s="14" t="str">
        <f>HYPERLINK("https://pbs.twimg.com/profile_images/661580342260842496/MZt0RgIb.jpg","View")</f>
        <v>View</v>
      </c>
    </row>
    <row r="451" spans="1:21" ht="30">
      <c r="A451" s="10">
        <v>43346.058703703704</v>
      </c>
      <c r="B451" s="11" t="str">
        <f>HYPERLINK("https://twitter.com/sgwhibley","@sgwhibley")</f>
        <v>@sgwhibley</v>
      </c>
      <c r="C451" s="12" t="s">
        <v>342</v>
      </c>
      <c r="D451" s="13" t="s">
        <v>1132</v>
      </c>
      <c r="E451" s="14" t="str">
        <f>HYPERLINK("https://twitter.com/sgwhibley/status/1036530371154853889","1036530371154853889")</f>
        <v>1036530371154853889</v>
      </c>
      <c r="F451" s="15"/>
      <c r="G451" s="16" t="s">
        <v>1133</v>
      </c>
      <c r="H451" s="15"/>
      <c r="I451" s="17">
        <v>1</v>
      </c>
      <c r="J451" s="17">
        <v>14</v>
      </c>
      <c r="K451" s="18" t="str">
        <f t="shared" ref="K451:K452" si="104">HYPERLINK("http://twitter.com/download/iphone","Twitter for iPhone")</f>
        <v>Twitter for iPhone</v>
      </c>
      <c r="L451" s="17">
        <v>572</v>
      </c>
      <c r="M451" s="17">
        <v>1279</v>
      </c>
      <c r="N451" s="17">
        <v>21</v>
      </c>
      <c r="O451" s="19"/>
      <c r="P451" s="10">
        <v>39853.471828703703</v>
      </c>
      <c r="Q451" s="20" t="s">
        <v>345</v>
      </c>
      <c r="R451" s="21" t="s">
        <v>346</v>
      </c>
      <c r="S451" s="15"/>
      <c r="T451" s="15"/>
      <c r="U451" s="14" t="str">
        <f>HYPERLINK("https://pbs.twimg.com/profile_images/992805147213549570/RZxxNOLa.jpg","View")</f>
        <v>View</v>
      </c>
    </row>
    <row r="452" spans="1:21" ht="30">
      <c r="A452" s="10">
        <v>43346.057939814811</v>
      </c>
      <c r="B452" s="11" t="str">
        <f>HYPERLINK("https://twitter.com/jasonmarkwebber","@jasonmarkwebber")</f>
        <v>@jasonmarkwebber</v>
      </c>
      <c r="C452" s="12" t="s">
        <v>1134</v>
      </c>
      <c r="D452" s="13" t="s">
        <v>1135</v>
      </c>
      <c r="E452" s="14" t="str">
        <f>HYPERLINK("https://twitter.com/jasonmarkwebber/status/1036530092112003072","1036530092112003072")</f>
        <v>1036530092112003072</v>
      </c>
      <c r="F452" s="15"/>
      <c r="G452" s="16" t="s">
        <v>1136</v>
      </c>
      <c r="H452" s="15"/>
      <c r="I452" s="17">
        <v>1</v>
      </c>
      <c r="J452" s="17">
        <v>16</v>
      </c>
      <c r="K452" s="18" t="str">
        <f t="shared" si="104"/>
        <v>Twitter for iPhone</v>
      </c>
      <c r="L452" s="17">
        <v>1252</v>
      </c>
      <c r="M452" s="17">
        <v>1712</v>
      </c>
      <c r="N452" s="17">
        <v>84</v>
      </c>
      <c r="O452" s="19"/>
      <c r="P452" s="10">
        <v>39562.156990740739</v>
      </c>
      <c r="Q452" s="20" t="s">
        <v>56</v>
      </c>
      <c r="R452" s="21" t="s">
        <v>1137</v>
      </c>
      <c r="S452" s="15"/>
      <c r="T452" s="15"/>
      <c r="U452" s="14" t="str">
        <f>HYPERLINK("https://pbs.twimg.com/profile_images/916208295907557376/6e5grB0q.jpg","View")</f>
        <v>View</v>
      </c>
    </row>
    <row r="453" spans="1:21" ht="30">
      <c r="A453" s="10">
        <v>43346.055995370371</v>
      </c>
      <c r="B453" s="11" t="str">
        <f>HYPERLINK("https://twitter.com/UKWebArchive","@UKWebArchive")</f>
        <v>@UKWebArchive</v>
      </c>
      <c r="C453" s="12" t="s">
        <v>1138</v>
      </c>
      <c r="D453" s="13" t="s">
        <v>1139</v>
      </c>
      <c r="E453" s="14" t="str">
        <f>HYPERLINK("https://twitter.com/UKWebArchive/status/1036529387976491008","1036529387976491008")</f>
        <v>1036529387976491008</v>
      </c>
      <c r="F453" s="15"/>
      <c r="G453" s="15"/>
      <c r="H453" s="15"/>
      <c r="I453" s="17">
        <v>1</v>
      </c>
      <c r="J453" s="17">
        <v>5</v>
      </c>
      <c r="K453" s="18" t="str">
        <f>HYPERLINK("https://twitterrific.com/ios","Twitterrific for iOS")</f>
        <v>Twitterrific for iOS</v>
      </c>
      <c r="L453" s="17">
        <v>5720</v>
      </c>
      <c r="M453" s="17">
        <v>630</v>
      </c>
      <c r="N453" s="17">
        <v>290</v>
      </c>
      <c r="O453" s="19"/>
      <c r="P453" s="10">
        <v>40693.006516203706</v>
      </c>
      <c r="Q453" s="20" t="s">
        <v>517</v>
      </c>
      <c r="R453" s="21" t="s">
        <v>1140</v>
      </c>
      <c r="S453" s="16" t="s">
        <v>1141</v>
      </c>
      <c r="T453" s="15"/>
      <c r="U453" s="14" t="str">
        <f>HYPERLINK("https://pbs.twimg.com/profile_images/1450384802/ukwa-3.JPG","View")</f>
        <v>View</v>
      </c>
    </row>
    <row r="454" spans="1:21" ht="50">
      <c r="A454" s="10">
        <v>43346.055868055555</v>
      </c>
      <c r="B454" s="11" t="str">
        <f>HYPERLINK("https://twitter.com/Archaeovision","@Archaeovision")</f>
        <v>@Archaeovision</v>
      </c>
      <c r="C454" s="12" t="s">
        <v>231</v>
      </c>
      <c r="D454" s="13" t="s">
        <v>1142</v>
      </c>
      <c r="E454" s="14" t="str">
        <f>HYPERLINK("https://twitter.com/Archaeovision/status/1036529340287250432","1036529340287250432")</f>
        <v>1036529340287250432</v>
      </c>
      <c r="F454" s="15"/>
      <c r="G454" s="15"/>
      <c r="H454" s="15"/>
      <c r="I454" s="17">
        <v>0</v>
      </c>
      <c r="J454" s="17">
        <v>6</v>
      </c>
      <c r="K454" s="18" t="str">
        <f t="shared" ref="K454:K455" si="105">HYPERLINK("http://twitter.com/download/android","Twitter for Android")</f>
        <v>Twitter for Android</v>
      </c>
      <c r="L454" s="17">
        <v>565</v>
      </c>
      <c r="M454" s="17">
        <v>486</v>
      </c>
      <c r="N454" s="17">
        <v>14</v>
      </c>
      <c r="O454" s="19"/>
      <c r="P454" s="10">
        <v>41487.218530092592</v>
      </c>
      <c r="Q454" s="20" t="s">
        <v>234</v>
      </c>
      <c r="R454" s="21" t="s">
        <v>235</v>
      </c>
      <c r="S454" s="16" t="s">
        <v>236</v>
      </c>
      <c r="T454" s="15"/>
      <c r="U454" s="14" t="str">
        <f>HYPERLINK("https://pbs.twimg.com/profile_images/723078996871790596/T7FDA4_d.jpg","View")</f>
        <v>View</v>
      </c>
    </row>
    <row r="455" spans="1:21" ht="60">
      <c r="A455" s="10">
        <v>43346.046527777777</v>
      </c>
      <c r="B455" s="11" t="str">
        <f>HYPERLINK("https://twitter.com/Wolf_Q4","@Wolf_Q4")</f>
        <v>@Wolf_Q4</v>
      </c>
      <c r="C455" s="12" t="s">
        <v>1143</v>
      </c>
      <c r="D455" s="13" t="s">
        <v>1144</v>
      </c>
      <c r="E455" s="14" t="str">
        <f>HYPERLINK("https://twitter.com/Wolf_Q4/status/1036525956121481217","1036525956121481217")</f>
        <v>1036525956121481217</v>
      </c>
      <c r="F455" s="15"/>
      <c r="G455" s="16" t="s">
        <v>1145</v>
      </c>
      <c r="H455" s="15"/>
      <c r="I455" s="17">
        <v>1</v>
      </c>
      <c r="J455" s="17">
        <v>11</v>
      </c>
      <c r="K455" s="18" t="str">
        <f t="shared" si="105"/>
        <v>Twitter for Android</v>
      </c>
      <c r="L455" s="17">
        <v>543</v>
      </c>
      <c r="M455" s="17">
        <v>999</v>
      </c>
      <c r="N455" s="17">
        <v>26</v>
      </c>
      <c r="O455" s="19"/>
      <c r="P455" s="10">
        <v>41663.222627314812</v>
      </c>
      <c r="Q455" s="20" t="s">
        <v>307</v>
      </c>
      <c r="R455" s="21" t="s">
        <v>1146</v>
      </c>
      <c r="S455" s="16" t="s">
        <v>1147</v>
      </c>
      <c r="T455" s="15"/>
      <c r="U455" s="14" t="str">
        <f>HYPERLINK("https://pbs.twimg.com/profile_images/884151444429041665/Vrqp859o.jpg","View")</f>
        <v>View</v>
      </c>
    </row>
    <row r="456" spans="1:21" ht="20">
      <c r="A456" s="10">
        <v>43346.035231481481</v>
      </c>
      <c r="B456" s="11" t="str">
        <f>HYPERLINK("https://twitter.com/estherandhorses","@estherandhorses")</f>
        <v>@estherandhorses</v>
      </c>
      <c r="C456" s="12" t="s">
        <v>913</v>
      </c>
      <c r="D456" s="13" t="s">
        <v>1148</v>
      </c>
      <c r="E456" s="14" t="str">
        <f>HYPERLINK("https://twitter.com/estherandhorses/status/1036521864733093888","1036521864733093888")</f>
        <v>1036521864733093888</v>
      </c>
      <c r="F456" s="15"/>
      <c r="G456" s="15"/>
      <c r="H456" s="15"/>
      <c r="I456" s="17">
        <v>0</v>
      </c>
      <c r="J456" s="17">
        <v>3</v>
      </c>
      <c r="K456" s="18" t="str">
        <f t="shared" ref="K456:K460" si="106">HYPERLINK("http://twitter.com/download/iphone","Twitter for iPhone")</f>
        <v>Twitter for iPhone</v>
      </c>
      <c r="L456" s="17">
        <v>389</v>
      </c>
      <c r="M456" s="17">
        <v>262</v>
      </c>
      <c r="N456" s="17">
        <v>18</v>
      </c>
      <c r="O456" s="19"/>
      <c r="P456" s="10">
        <v>39994.525462962964</v>
      </c>
      <c r="Q456" s="20" t="s">
        <v>916</v>
      </c>
      <c r="R456" s="21" t="s">
        <v>917</v>
      </c>
      <c r="S456" s="15"/>
      <c r="T456" s="15"/>
      <c r="U456" s="14" t="str">
        <f>HYPERLINK("https://pbs.twimg.com/profile_images/1022248982649741312/8adEwj8I.jpg","View")</f>
        <v>View</v>
      </c>
    </row>
    <row r="457" spans="1:21" ht="30">
      <c r="A457" s="10">
        <v>43346.032268518524</v>
      </c>
      <c r="B457" s="11" t="str">
        <f>HYPERLINK("https://twitter.com/BeautifullyBony","@BeautifullyBony")</f>
        <v>@BeautifullyBony</v>
      </c>
      <c r="C457" s="12" t="s">
        <v>1149</v>
      </c>
      <c r="D457" s="13" t="s">
        <v>1150</v>
      </c>
      <c r="E457" s="14" t="str">
        <f>HYPERLINK("https://twitter.com/BeautifullyBony/status/1036520787908472833","1036520787908472833")</f>
        <v>1036520787908472833</v>
      </c>
      <c r="F457" s="15"/>
      <c r="G457" s="15"/>
      <c r="H457" s="15"/>
      <c r="I457" s="17">
        <v>0</v>
      </c>
      <c r="J457" s="17">
        <v>6</v>
      </c>
      <c r="K457" s="18" t="str">
        <f t="shared" si="106"/>
        <v>Twitter for iPhone</v>
      </c>
      <c r="L457" s="17">
        <v>558</v>
      </c>
      <c r="M457" s="17">
        <v>1203</v>
      </c>
      <c r="N457" s="17">
        <v>29</v>
      </c>
      <c r="O457" s="19"/>
      <c r="P457" s="10">
        <v>41577.466527777782</v>
      </c>
      <c r="Q457" s="20" t="s">
        <v>1151</v>
      </c>
      <c r="R457" s="21" t="s">
        <v>1152</v>
      </c>
      <c r="S457" s="16" t="s">
        <v>1153</v>
      </c>
      <c r="T457" s="15"/>
      <c r="U457" s="14" t="str">
        <f>HYPERLINK("https://pbs.twimg.com/profile_images/378800000735270175/8c498a39f3f6d9e0426e5936722fb2bf.jpeg","View")</f>
        <v>View</v>
      </c>
    </row>
    <row r="458" spans="1:21" ht="40">
      <c r="A458" s="10">
        <v>43346.028217592597</v>
      </c>
      <c r="B458" s="11" t="str">
        <f>HYPERLINK("https://twitter.com/eloisarod","@eloisarod")</f>
        <v>@eloisarod</v>
      </c>
      <c r="C458" s="12" t="s">
        <v>467</v>
      </c>
      <c r="D458" s="13" t="s">
        <v>1154</v>
      </c>
      <c r="E458" s="14" t="str">
        <f>HYPERLINK("https://twitter.com/eloisarod/status/1036519322896752640","1036519322896752640")</f>
        <v>1036519322896752640</v>
      </c>
      <c r="F458" s="15"/>
      <c r="G458" s="15"/>
      <c r="H458" s="15"/>
      <c r="I458" s="17">
        <v>0</v>
      </c>
      <c r="J458" s="17">
        <v>9</v>
      </c>
      <c r="K458" s="18" t="str">
        <f t="shared" si="106"/>
        <v>Twitter for iPhone</v>
      </c>
      <c r="L458" s="17">
        <v>370</v>
      </c>
      <c r="M458" s="17">
        <v>685</v>
      </c>
      <c r="N458" s="17">
        <v>14</v>
      </c>
      <c r="O458" s="19"/>
      <c r="P458" s="10">
        <v>40350.666979166665</v>
      </c>
      <c r="Q458" s="20" t="s">
        <v>220</v>
      </c>
      <c r="R458" s="21" t="s">
        <v>470</v>
      </c>
      <c r="S458" s="16" t="s">
        <v>471</v>
      </c>
      <c r="T458" s="15"/>
      <c r="U458" s="14" t="str">
        <f>HYPERLINK("https://pbs.twimg.com/profile_images/1030162606047338496/NMXjEz38.jpg","View")</f>
        <v>View</v>
      </c>
    </row>
    <row r="459" spans="1:21" ht="30">
      <c r="A459" s="10">
        <v>43346.026469907403</v>
      </c>
      <c r="B459" s="11" t="str">
        <f>HYPERLINK("https://twitter.com/MacfRachel","@MacfRachel")</f>
        <v>@MacfRachel</v>
      </c>
      <c r="C459" s="12" t="s">
        <v>957</v>
      </c>
      <c r="D459" s="13" t="s">
        <v>1155</v>
      </c>
      <c r="E459" s="14" t="str">
        <f>HYPERLINK("https://twitter.com/MacfRachel/status/1036518687493238785","1036518687493238785")</f>
        <v>1036518687493238785</v>
      </c>
      <c r="F459" s="15"/>
      <c r="G459" s="15"/>
      <c r="H459" s="15"/>
      <c r="I459" s="17">
        <v>1</v>
      </c>
      <c r="J459" s="17">
        <v>9</v>
      </c>
      <c r="K459" s="18" t="str">
        <f t="shared" si="106"/>
        <v>Twitter for iPhone</v>
      </c>
      <c r="L459" s="17">
        <v>198</v>
      </c>
      <c r="M459" s="17">
        <v>298</v>
      </c>
      <c r="N459" s="17">
        <v>1</v>
      </c>
      <c r="O459" s="19"/>
      <c r="P459" s="10">
        <v>42250.522233796291</v>
      </c>
      <c r="Q459" s="15"/>
      <c r="R459" s="21" t="s">
        <v>960</v>
      </c>
      <c r="S459" s="15"/>
      <c r="T459" s="15"/>
      <c r="U459" s="14" t="str">
        <f>HYPERLINK("https://pbs.twimg.com/profile_images/909532338429861893/n06k8W82.jpg","View")</f>
        <v>View</v>
      </c>
    </row>
    <row r="460" spans="1:21" ht="30">
      <c r="A460" s="10">
        <v>43346.015335648146</v>
      </c>
      <c r="B460" s="11" t="str">
        <f>HYPERLINK("https://twitter.com/JonathanAblett","@JonathanAblett")</f>
        <v>@JonathanAblett</v>
      </c>
      <c r="C460" s="12" t="s">
        <v>1156</v>
      </c>
      <c r="D460" s="13" t="s">
        <v>1157</v>
      </c>
      <c r="E460" s="14" t="str">
        <f>HYPERLINK("https://twitter.com/JonathanAblett/status/1036514653126516736","1036514653126516736")</f>
        <v>1036514653126516736</v>
      </c>
      <c r="F460" s="16" t="s">
        <v>1158</v>
      </c>
      <c r="G460" s="15"/>
      <c r="H460" s="15"/>
      <c r="I460" s="17">
        <v>2</v>
      </c>
      <c r="J460" s="17">
        <v>11</v>
      </c>
      <c r="K460" s="18" t="str">
        <f t="shared" si="106"/>
        <v>Twitter for iPhone</v>
      </c>
      <c r="L460" s="17">
        <v>186</v>
      </c>
      <c r="M460" s="17">
        <v>178</v>
      </c>
      <c r="N460" s="17">
        <v>2</v>
      </c>
      <c r="O460" s="19"/>
      <c r="P460" s="10">
        <v>43132.141817129625</v>
      </c>
      <c r="Q460" s="15"/>
      <c r="R460" s="21" t="s">
        <v>1159</v>
      </c>
      <c r="S460" s="15"/>
      <c r="T460" s="15"/>
      <c r="U460" s="14" t="str">
        <f>HYPERLINK("https://pbs.twimg.com/profile_images/959028637327601664/LNDe_64g.jpg","View")</f>
        <v>View</v>
      </c>
    </row>
    <row r="461" spans="1:21" ht="50">
      <c r="A461" s="10">
        <v>43346.005856481483</v>
      </c>
      <c r="B461" s="11" t="str">
        <f>HYPERLINK("https://twitter.com/JenMabbott","@JenMabbott")</f>
        <v>@JenMabbott</v>
      </c>
      <c r="C461" s="12" t="s">
        <v>66</v>
      </c>
      <c r="D461" s="13" t="s">
        <v>1160</v>
      </c>
      <c r="E461" s="14" t="str">
        <f>HYPERLINK("https://twitter.com/JenMabbott/status/1036511217504997377","1036511217504997377")</f>
        <v>1036511217504997377</v>
      </c>
      <c r="F461" s="15"/>
      <c r="G461" s="15"/>
      <c r="H461" s="15"/>
      <c r="I461" s="17">
        <v>0</v>
      </c>
      <c r="J461" s="17">
        <v>7</v>
      </c>
      <c r="K461" s="18" t="str">
        <f t="shared" ref="K461:K462" si="107">HYPERLINK("http://twitter.com/download/android","Twitter for Android")</f>
        <v>Twitter for Android</v>
      </c>
      <c r="L461" s="17">
        <v>1188</v>
      </c>
      <c r="M461" s="17">
        <v>2009</v>
      </c>
      <c r="N461" s="17">
        <v>27</v>
      </c>
      <c r="O461" s="19"/>
      <c r="P461" s="10">
        <v>40624.40388888889</v>
      </c>
      <c r="Q461" s="20" t="s">
        <v>69</v>
      </c>
      <c r="R461" s="21" t="s">
        <v>70</v>
      </c>
      <c r="S461" s="15"/>
      <c r="T461" s="15"/>
      <c r="U461" s="14" t="str">
        <f>HYPERLINK("https://pbs.twimg.com/profile_images/1002681272127426561/z9og3O9C.jpg","View")</f>
        <v>View</v>
      </c>
    </row>
    <row r="462" spans="1:21" ht="40">
      <c r="A462" s="10">
        <v>43346.004467592589</v>
      </c>
      <c r="B462" s="11" t="str">
        <f>HYPERLINK("https://twitter.com/VickyDonnellan","@VickyDonnellan")</f>
        <v>@VickyDonnellan</v>
      </c>
      <c r="C462" s="12" t="s">
        <v>1161</v>
      </c>
      <c r="D462" s="13" t="s">
        <v>1162</v>
      </c>
      <c r="E462" s="14" t="str">
        <f>HYPERLINK("https://twitter.com/VickyDonnellan/status/1036510713987170304","1036510713987170304")</f>
        <v>1036510713987170304</v>
      </c>
      <c r="F462" s="15"/>
      <c r="G462" s="15"/>
      <c r="H462" s="15"/>
      <c r="I462" s="17">
        <v>0</v>
      </c>
      <c r="J462" s="17">
        <v>4</v>
      </c>
      <c r="K462" s="18" t="str">
        <f t="shared" si="107"/>
        <v>Twitter for Android</v>
      </c>
      <c r="L462" s="17">
        <v>789</v>
      </c>
      <c r="M462" s="17">
        <v>1078</v>
      </c>
      <c r="N462" s="17">
        <v>27</v>
      </c>
      <c r="O462" s="19"/>
      <c r="P462" s="10">
        <v>41985.500138888892</v>
      </c>
      <c r="Q462" s="20" t="s">
        <v>56</v>
      </c>
      <c r="R462" s="21" t="s">
        <v>1163</v>
      </c>
      <c r="S462" s="16" t="s">
        <v>1164</v>
      </c>
      <c r="T462" s="15"/>
      <c r="U462" s="14" t="str">
        <f>HYPERLINK("https://pbs.twimg.com/profile_images/543496646139473920/UEUBDjAQ.jpeg","View")</f>
        <v>View</v>
      </c>
    </row>
    <row r="463" spans="1:21" ht="70">
      <c r="A463" s="10">
        <v>43345.998148148152</v>
      </c>
      <c r="B463" s="11" t="str">
        <f>HYPERLINK("https://twitter.com/MickyLindlar","@MickyLindlar")</f>
        <v>@MickyLindlar</v>
      </c>
      <c r="C463" s="12" t="s">
        <v>1165</v>
      </c>
      <c r="D463" s="13" t="s">
        <v>1166</v>
      </c>
      <c r="E463" s="14" t="str">
        <f>HYPERLINK("https://twitter.com/MickyLindlar/status/1036508425608458240","1036508425608458240")</f>
        <v>1036508425608458240</v>
      </c>
      <c r="F463" s="20" t="s">
        <v>1167</v>
      </c>
      <c r="G463" s="15"/>
      <c r="H463" s="15"/>
      <c r="I463" s="17">
        <v>2</v>
      </c>
      <c r="J463" s="17">
        <v>8</v>
      </c>
      <c r="K463" s="18" t="str">
        <f t="shared" ref="K463:K464" si="108">HYPERLINK("https://about.twitter.com/products/tweetdeck","TweetDeck")</f>
        <v>TweetDeck</v>
      </c>
      <c r="L463" s="17">
        <v>417</v>
      </c>
      <c r="M463" s="17">
        <v>379</v>
      </c>
      <c r="N463" s="17">
        <v>21</v>
      </c>
      <c r="O463" s="19"/>
      <c r="P463" s="10">
        <v>40835.030555555553</v>
      </c>
      <c r="Q463" s="15"/>
      <c r="R463" s="21" t="s">
        <v>1168</v>
      </c>
      <c r="S463" s="15"/>
      <c r="T463" s="15"/>
      <c r="U463" s="14" t="str">
        <f>HYPERLINK("https://pbs.twimg.com/profile_images/833637982712258560/HSxmGjw9.jpg","View")</f>
        <v>View</v>
      </c>
    </row>
    <row r="464" spans="1:21" ht="40">
      <c r="A464" s="10">
        <v>43345.994143518517</v>
      </c>
      <c r="B464" s="11" t="str">
        <f>HYPERLINK("https://twitter.com/Sarah_DPC","@Sarah_DPC")</f>
        <v>@Sarah_DPC</v>
      </c>
      <c r="C464" s="12" t="s">
        <v>178</v>
      </c>
      <c r="D464" s="13" t="s">
        <v>1169</v>
      </c>
      <c r="E464" s="14" t="str">
        <f>HYPERLINK("https://twitter.com/Sarah_DPC/status/1036506973477462016","1036506973477462016")</f>
        <v>1036506973477462016</v>
      </c>
      <c r="F464" s="16" t="s">
        <v>1170</v>
      </c>
      <c r="G464" s="15"/>
      <c r="H464" s="15"/>
      <c r="I464" s="17">
        <v>2</v>
      </c>
      <c r="J464" s="17">
        <v>12</v>
      </c>
      <c r="K464" s="18" t="str">
        <f t="shared" si="108"/>
        <v>TweetDeck</v>
      </c>
      <c r="L464" s="17">
        <v>1270</v>
      </c>
      <c r="M464" s="17">
        <v>715</v>
      </c>
      <c r="N464" s="17">
        <v>51</v>
      </c>
      <c r="O464" s="19"/>
      <c r="P464" s="10">
        <v>41373.188576388886</v>
      </c>
      <c r="Q464" s="20" t="s">
        <v>180</v>
      </c>
      <c r="R464" s="21" t="s">
        <v>181</v>
      </c>
      <c r="S464" s="16" t="s">
        <v>182</v>
      </c>
      <c r="T464" s="15"/>
      <c r="U464" s="14" t="str">
        <f>HYPERLINK("https://pbs.twimg.com/profile_images/867263862726434816/K2qoO6sD.jpg","View")</f>
        <v>View</v>
      </c>
    </row>
    <row r="465" spans="1:21" ht="40">
      <c r="A465" s="10">
        <v>43345.992303240739</v>
      </c>
      <c r="B465" s="11" t="str">
        <f>HYPERLINK("https://twitter.com/paulakeogh","@paulakeogh")</f>
        <v>@paulakeogh</v>
      </c>
      <c r="C465" s="12" t="s">
        <v>658</v>
      </c>
      <c r="D465" s="13" t="s">
        <v>1171</v>
      </c>
      <c r="E465" s="14" t="str">
        <f>HYPERLINK("https://twitter.com/paulakeogh/status/1036506308533530624","1036506308533530624")</f>
        <v>1036506308533530624</v>
      </c>
      <c r="F465" s="15"/>
      <c r="G465" s="15"/>
      <c r="H465" s="15"/>
      <c r="I465" s="17">
        <v>0</v>
      </c>
      <c r="J465" s="17">
        <v>4</v>
      </c>
      <c r="K465" s="18" t="str">
        <f t="shared" ref="K465:K468" si="109">HYPERLINK("http://twitter.com/download/iphone","Twitter for iPhone")</f>
        <v>Twitter for iPhone</v>
      </c>
      <c r="L465" s="17">
        <v>404</v>
      </c>
      <c r="M465" s="17">
        <v>557</v>
      </c>
      <c r="N465" s="17">
        <v>32</v>
      </c>
      <c r="O465" s="19"/>
      <c r="P465" s="10">
        <v>39854.575243055559</v>
      </c>
      <c r="Q465" s="20" t="s">
        <v>661</v>
      </c>
      <c r="R465" s="21" t="s">
        <v>662</v>
      </c>
      <c r="S465" s="16" t="s">
        <v>663</v>
      </c>
      <c r="T465" s="15"/>
      <c r="U465" s="14" t="str">
        <f>HYPERLINK("https://pbs.twimg.com/profile_images/932908395237183488/ZK6vDync.jpg","View")</f>
        <v>View</v>
      </c>
    </row>
    <row r="466" spans="1:21" ht="30">
      <c r="A466" s="10">
        <v>43345.985868055555</v>
      </c>
      <c r="B466" s="11" t="str">
        <f>HYPERLINK("https://twitter.com/GlennCumiskey","@GlennCumiskey")</f>
        <v>@GlennCumiskey</v>
      </c>
      <c r="C466" s="12" t="s">
        <v>44</v>
      </c>
      <c r="D466" s="13" t="s">
        <v>1172</v>
      </c>
      <c r="E466" s="14" t="str">
        <f>HYPERLINK("https://twitter.com/GlennCumiskey/status/1036503974231371776","1036503974231371776")</f>
        <v>1036503974231371776</v>
      </c>
      <c r="F466" s="15"/>
      <c r="G466" s="16" t="s">
        <v>1173</v>
      </c>
      <c r="H466" s="15"/>
      <c r="I466" s="17">
        <v>4</v>
      </c>
      <c r="J466" s="17">
        <v>46</v>
      </c>
      <c r="K466" s="18" t="str">
        <f t="shared" si="109"/>
        <v>Twitter for iPhone</v>
      </c>
      <c r="L466" s="17">
        <v>745</v>
      </c>
      <c r="M466" s="17">
        <v>981</v>
      </c>
      <c r="N466" s="17">
        <v>20</v>
      </c>
      <c r="O466" s="19"/>
      <c r="P466" s="10">
        <v>42144.285949074074</v>
      </c>
      <c r="Q466" s="20" t="s">
        <v>41</v>
      </c>
      <c r="R466" s="21" t="s">
        <v>47</v>
      </c>
      <c r="S466" s="16" t="s">
        <v>48</v>
      </c>
      <c r="T466" s="15"/>
      <c r="U466" s="14" t="str">
        <f>HYPERLINK("https://pbs.twimg.com/profile_images/601028262463197186/84Oaa8F-.jpg","View")</f>
        <v>View</v>
      </c>
    </row>
    <row r="467" spans="1:21" ht="40">
      <c r="A467" s="10">
        <v>43345.976215277777</v>
      </c>
      <c r="B467" s="11" t="str">
        <f>HYPERLINK("https://twitter.com/natalieharrower","@natalieharrower")</f>
        <v>@natalieharrower</v>
      </c>
      <c r="C467" s="12" t="s">
        <v>59</v>
      </c>
      <c r="D467" s="13" t="s">
        <v>1174</v>
      </c>
      <c r="E467" s="14" t="str">
        <f>HYPERLINK("https://twitter.com/natalieharrower/status/1036500475535876096","1036500475535876096")</f>
        <v>1036500475535876096</v>
      </c>
      <c r="F467" s="20" t="s">
        <v>1175</v>
      </c>
      <c r="G467" s="15"/>
      <c r="H467" s="15"/>
      <c r="I467" s="17">
        <v>7</v>
      </c>
      <c r="J467" s="17">
        <v>12</v>
      </c>
      <c r="K467" s="18" t="str">
        <f t="shared" si="109"/>
        <v>Twitter for iPhone</v>
      </c>
      <c r="L467" s="17">
        <v>2422</v>
      </c>
      <c r="M467" s="17">
        <v>2344</v>
      </c>
      <c r="N467" s="17">
        <v>164</v>
      </c>
      <c r="O467" s="19"/>
      <c r="P467" s="10">
        <v>39751.545844907407</v>
      </c>
      <c r="Q467" s="20" t="s">
        <v>61</v>
      </c>
      <c r="R467" s="21" t="s">
        <v>62</v>
      </c>
      <c r="S467" s="16" t="s">
        <v>63</v>
      </c>
      <c r="T467" s="15"/>
      <c r="U467" s="14" t="str">
        <f>HYPERLINK("https://pbs.twimg.com/profile_images/992918977172000769/pPUq69N4.jpg","View")</f>
        <v>View</v>
      </c>
    </row>
    <row r="468" spans="1:21" ht="30">
      <c r="A468" s="10">
        <v>43345.96266203704</v>
      </c>
      <c r="B468" s="11" t="str">
        <f>HYPERLINK("https://twitter.com/JoanneDyer_BM","@JoanneDyer_BM")</f>
        <v>@JoanneDyer_BM</v>
      </c>
      <c r="C468" s="12" t="s">
        <v>1176</v>
      </c>
      <c r="D468" s="13" t="s">
        <v>1177</v>
      </c>
      <c r="E468" s="14" t="str">
        <f>HYPERLINK("https://twitter.com/JoanneDyer_BM/status/1036495566275010560","1036495566275010560")</f>
        <v>1036495566275010560</v>
      </c>
      <c r="F468" s="16" t="s">
        <v>1170</v>
      </c>
      <c r="G468" s="15"/>
      <c r="H468" s="15"/>
      <c r="I468" s="17">
        <v>2</v>
      </c>
      <c r="J468" s="17">
        <v>12</v>
      </c>
      <c r="K468" s="18" t="str">
        <f t="shared" si="109"/>
        <v>Twitter for iPhone</v>
      </c>
      <c r="L468" s="17">
        <v>368</v>
      </c>
      <c r="M468" s="17">
        <v>642</v>
      </c>
      <c r="N468" s="17">
        <v>6</v>
      </c>
      <c r="O468" s="19"/>
      <c r="P468" s="10">
        <v>43005.458599537036</v>
      </c>
      <c r="Q468" s="20" t="s">
        <v>41</v>
      </c>
      <c r="R468" s="21" t="s">
        <v>1178</v>
      </c>
      <c r="S468" s="16" t="s">
        <v>1179</v>
      </c>
      <c r="T468" s="15"/>
      <c r="U468" s="14" t="str">
        <f>HYPERLINK("https://pbs.twimg.com/profile_images/913106820666978304/ma4UVa4Q.jpg","View")</f>
        <v>View</v>
      </c>
    </row>
    <row r="469" spans="1:21" ht="30">
      <c r="A469" s="10">
        <v>43345.943333333329</v>
      </c>
      <c r="B469" s="11" t="str">
        <f>HYPERLINK("https://twitter.com/ImmyLloyd","@ImmyLloyd")</f>
        <v>@ImmyLloyd</v>
      </c>
      <c r="C469" s="12" t="s">
        <v>761</v>
      </c>
      <c r="D469" s="13" t="s">
        <v>1180</v>
      </c>
      <c r="E469" s="14" t="str">
        <f>HYPERLINK("https://twitter.com/ImmyLloyd/status/1036488562198421504","1036488562198421504")</f>
        <v>1036488562198421504</v>
      </c>
      <c r="F469" s="15"/>
      <c r="G469" s="15"/>
      <c r="H469" s="15"/>
      <c r="I469" s="17">
        <v>0</v>
      </c>
      <c r="J469" s="17">
        <v>4</v>
      </c>
      <c r="K469" s="18" t="str">
        <f>HYPERLINK("http://twitter.com/download/android","Twitter for Android")</f>
        <v>Twitter for Android</v>
      </c>
      <c r="L469" s="17">
        <v>79</v>
      </c>
      <c r="M469" s="17">
        <v>146</v>
      </c>
      <c r="N469" s="17">
        <v>3</v>
      </c>
      <c r="O469" s="19"/>
      <c r="P469" s="10">
        <v>40798.433379629627</v>
      </c>
      <c r="Q469" s="20" t="s">
        <v>764</v>
      </c>
      <c r="R469" s="21" t="s">
        <v>765</v>
      </c>
      <c r="S469" s="15"/>
      <c r="T469" s="15"/>
      <c r="U469" s="14" t="str">
        <f>HYPERLINK("https://pbs.twimg.com/profile_images/1010065287054594048/lF_dyFuM.jpg","View")</f>
        <v>View</v>
      </c>
    </row>
    <row r="470" spans="1:21" ht="40">
      <c r="A470" s="10">
        <v>43345.939733796295</v>
      </c>
      <c r="B470" s="11" t="str">
        <f>HYPERLINK("https://twitter.com/MariaEcoGl","@MariaEcoGl")</f>
        <v>@MariaEcoGl</v>
      </c>
      <c r="C470" s="12" t="s">
        <v>304</v>
      </c>
      <c r="D470" s="13" t="s">
        <v>1181</v>
      </c>
      <c r="E470" s="14" t="str">
        <f>HYPERLINK("https://twitter.com/MariaEcoGl/status/1036487256289304576","1036487256289304576")</f>
        <v>1036487256289304576</v>
      </c>
      <c r="F470" s="16" t="s">
        <v>1170</v>
      </c>
      <c r="G470" s="15"/>
      <c r="H470" s="15"/>
      <c r="I470" s="17">
        <v>3</v>
      </c>
      <c r="J470" s="17">
        <v>31</v>
      </c>
      <c r="K470" s="18" t="str">
        <f>HYPERLINK("http://twitter.com/download/iphone","Twitter for iPhone")</f>
        <v>Twitter for iPhone</v>
      </c>
      <c r="L470" s="17">
        <v>1479</v>
      </c>
      <c r="M470" s="17">
        <v>2085</v>
      </c>
      <c r="N470" s="17">
        <v>43</v>
      </c>
      <c r="O470" s="19"/>
      <c r="P470" s="10">
        <v>41611.245787037034</v>
      </c>
      <c r="Q470" s="20" t="s">
        <v>307</v>
      </c>
      <c r="R470" s="21" t="s">
        <v>308</v>
      </c>
      <c r="S470" s="16" t="s">
        <v>309</v>
      </c>
      <c r="T470" s="15"/>
      <c r="U470" s="14" t="str">
        <f>HYPERLINK("https://pbs.twimg.com/profile_images/600251605141692416/YeaqAIJB.png","View")</f>
        <v>View</v>
      </c>
    </row>
    <row r="471" spans="1:21" ht="40">
      <c r="A471" s="10">
        <v>43345.658229166671</v>
      </c>
      <c r="B471" s="11" t="str">
        <f>HYPERLINK("https://twitter.com/JoePadfield","@JoePadfield")</f>
        <v>@JoePadfield</v>
      </c>
      <c r="C471" s="12" t="s">
        <v>323</v>
      </c>
      <c r="D471" s="13" t="s">
        <v>1182</v>
      </c>
      <c r="E471" s="14" t="str">
        <f>HYPERLINK("https://twitter.com/JoePadfield/status/1036385241156526085","1036385241156526085")</f>
        <v>1036385241156526085</v>
      </c>
      <c r="F471" s="16" t="s">
        <v>1183</v>
      </c>
      <c r="G471" s="15"/>
      <c r="H471" s="15"/>
      <c r="I471" s="17">
        <v>0</v>
      </c>
      <c r="J471" s="17">
        <v>3</v>
      </c>
      <c r="K471" s="18" t="str">
        <f>HYPERLINK("http://twitter.com","Twitter Web Client")</f>
        <v>Twitter Web Client</v>
      </c>
      <c r="L471" s="17">
        <v>1094</v>
      </c>
      <c r="M471" s="17">
        <v>543</v>
      </c>
      <c r="N471" s="17">
        <v>64</v>
      </c>
      <c r="O471" s="19"/>
      <c r="P471" s="10">
        <v>39877.535543981481</v>
      </c>
      <c r="Q471" s="20" t="s">
        <v>56</v>
      </c>
      <c r="R471" s="21" t="s">
        <v>325</v>
      </c>
      <c r="S471" s="16" t="s">
        <v>326</v>
      </c>
      <c r="T471" s="15"/>
      <c r="U471" s="14" t="str">
        <f>HYPERLINK("https://pbs.twimg.com/profile_images/1010189169841328128/aFZtk4bf.jpg","View")</f>
        <v>View</v>
      </c>
    </row>
    <row r="472" spans="1:21" ht="20">
      <c r="A472" s="10">
        <v>43345.493055555555</v>
      </c>
      <c r="B472" s="11" t="str">
        <f>HYPERLINK("https://twitter.com/WilliamKilbride","@WilliamKilbride")</f>
        <v>@WilliamKilbride</v>
      </c>
      <c r="C472" s="12" t="s">
        <v>49</v>
      </c>
      <c r="D472" s="13" t="s">
        <v>1184</v>
      </c>
      <c r="E472" s="14" t="str">
        <f>HYPERLINK("https://twitter.com/WilliamKilbride/status/1036325384948801536","1036325384948801536")</f>
        <v>1036325384948801536</v>
      </c>
      <c r="F472" s="15"/>
      <c r="G472" s="15"/>
      <c r="H472" s="15"/>
      <c r="I472" s="17">
        <v>0</v>
      </c>
      <c r="J472" s="17">
        <v>11</v>
      </c>
      <c r="K472" s="18" t="str">
        <f>HYPERLINK("http://twitter.com/download/android","Twitter for Android")</f>
        <v>Twitter for Android</v>
      </c>
      <c r="L472" s="17">
        <v>3065</v>
      </c>
      <c r="M472" s="17">
        <v>582</v>
      </c>
      <c r="N472" s="17">
        <v>180</v>
      </c>
      <c r="O472" s="19"/>
      <c r="P472" s="10">
        <v>39917.310949074075</v>
      </c>
      <c r="Q472" s="20" t="s">
        <v>51</v>
      </c>
      <c r="R472" s="21" t="s">
        <v>52</v>
      </c>
      <c r="S472" s="16" t="s">
        <v>53</v>
      </c>
      <c r="T472" s="15"/>
      <c r="U472" s="14" t="str">
        <f>HYPERLINK("https://pbs.twimg.com/profile_images/606802634499080192/ZWLKLGdh.png","View")</f>
        <v>View</v>
      </c>
    </row>
    <row r="473" spans="1:21" ht="40">
      <c r="A473" s="10">
        <v>43345.463900462964</v>
      </c>
      <c r="B473" s="11" t="str">
        <f>HYPERLINK("https://twitter.com/cogries","@cogries")</f>
        <v>@cogries</v>
      </c>
      <c r="C473" s="12" t="s">
        <v>1185</v>
      </c>
      <c r="D473" s="13" t="s">
        <v>1186</v>
      </c>
      <c r="E473" s="14" t="str">
        <f>HYPERLINK("https://twitter.com/cogries/status/1036314821002715136","1036314821002715136")</f>
        <v>1036314821002715136</v>
      </c>
      <c r="F473" s="16" t="s">
        <v>1170</v>
      </c>
      <c r="G473" s="15"/>
      <c r="H473" s="15"/>
      <c r="I473" s="17">
        <v>8</v>
      </c>
      <c r="J473" s="17">
        <v>19</v>
      </c>
      <c r="K473" s="18" t="str">
        <f t="shared" ref="K473:K477" si="110">HYPERLINK("http://twitter.com/download/iphone","Twitter for iPhone")</f>
        <v>Twitter for iPhone</v>
      </c>
      <c r="L473" s="17">
        <v>8050</v>
      </c>
      <c r="M473" s="17">
        <v>8221</v>
      </c>
      <c r="N473" s="17">
        <v>449</v>
      </c>
      <c r="O473" s="19"/>
      <c r="P473" s="10">
        <v>39895.323217592595</v>
      </c>
      <c r="Q473" s="20" t="s">
        <v>1187</v>
      </c>
      <c r="R473" s="21" t="s">
        <v>1188</v>
      </c>
      <c r="S473" s="16" t="s">
        <v>1189</v>
      </c>
      <c r="T473" s="15"/>
      <c r="U473" s="14" t="str">
        <f>HYPERLINK("https://pbs.twimg.com/profile_images/726053621914324992/R6kmDcJ8.jpg","View")</f>
        <v>View</v>
      </c>
    </row>
    <row r="474" spans="1:21" ht="40">
      <c r="A474" s="10">
        <v>43345.441805555558</v>
      </c>
      <c r="B474" s="11" t="str">
        <f>HYPERLINK("https://twitter.com/gabbyheffernan","@gabbyheffernan")</f>
        <v>@gabbyheffernan</v>
      </c>
      <c r="C474" s="12" t="s">
        <v>443</v>
      </c>
      <c r="D474" s="13" t="s">
        <v>1190</v>
      </c>
      <c r="E474" s="14" t="str">
        <f>HYPERLINK("https://twitter.com/gabbyheffernan/status/1036306814277758977","1036306814277758977")</f>
        <v>1036306814277758977</v>
      </c>
      <c r="F474" s="15"/>
      <c r="G474" s="16" t="s">
        <v>1191</v>
      </c>
      <c r="H474" s="15"/>
      <c r="I474" s="17">
        <v>0</v>
      </c>
      <c r="J474" s="17">
        <v>14</v>
      </c>
      <c r="K474" s="18" t="str">
        <f t="shared" si="110"/>
        <v>Twitter for iPhone</v>
      </c>
      <c r="L474" s="17">
        <v>879</v>
      </c>
      <c r="M474" s="17">
        <v>576</v>
      </c>
      <c r="N474" s="17">
        <v>22</v>
      </c>
      <c r="O474" s="19"/>
      <c r="P474" s="10">
        <v>40533.425312499996</v>
      </c>
      <c r="Q474" s="15"/>
      <c r="R474" s="21" t="s">
        <v>446</v>
      </c>
      <c r="S474" s="16" t="s">
        <v>447</v>
      </c>
      <c r="T474" s="15"/>
      <c r="U474" s="14" t="str">
        <f>HYPERLINK("https://pbs.twimg.com/profile_images/691247658246246400/FLXNDfqx.jpg","View")</f>
        <v>View</v>
      </c>
    </row>
    <row r="475" spans="1:21" ht="50">
      <c r="A475" s="10">
        <v>43345.429259259261</v>
      </c>
      <c r="B475" s="11" t="str">
        <f>HYPERLINK("https://twitter.com/HiImpactSimon","@HiImpactSimon")</f>
        <v>@HiImpactSimon</v>
      </c>
      <c r="C475" s="12" t="s">
        <v>99</v>
      </c>
      <c r="D475" s="13" t="s">
        <v>1192</v>
      </c>
      <c r="E475" s="14" t="str">
        <f>HYPERLINK("https://twitter.com/HiImpactSimon/status/1036302266490339328","1036302266490339328")</f>
        <v>1036302266490339328</v>
      </c>
      <c r="F475" s="15"/>
      <c r="G475" s="15"/>
      <c r="H475" s="15"/>
      <c r="I475" s="17">
        <v>2</v>
      </c>
      <c r="J475" s="17">
        <v>4</v>
      </c>
      <c r="K475" s="18" t="str">
        <f t="shared" si="110"/>
        <v>Twitter for iPhone</v>
      </c>
      <c r="L475" s="17">
        <v>1035</v>
      </c>
      <c r="M475" s="17">
        <v>1581</v>
      </c>
      <c r="N475" s="17">
        <v>139</v>
      </c>
      <c r="O475" s="19"/>
      <c r="P475" s="10">
        <v>40856.547673611109</v>
      </c>
      <c r="Q475" s="20" t="s">
        <v>102</v>
      </c>
      <c r="R475" s="21" t="s">
        <v>103</v>
      </c>
      <c r="S475" s="16" t="s">
        <v>104</v>
      </c>
      <c r="T475" s="15"/>
      <c r="U475" s="14" t="str">
        <f>HYPERLINK("https://pbs.twimg.com/profile_images/1036673707341742080/t0dSK5HI.jpg","View")</f>
        <v>View</v>
      </c>
    </row>
    <row r="476" spans="1:21" ht="30">
      <c r="A476" s="10">
        <v>43345.293229166666</v>
      </c>
      <c r="B476" s="11" t="str">
        <f>HYPERLINK("https://twitter.com/NicolePMeehan","@NicolePMeehan")</f>
        <v>@NicolePMeehan</v>
      </c>
      <c r="C476" s="12" t="s">
        <v>105</v>
      </c>
      <c r="D476" s="13" t="s">
        <v>1193</v>
      </c>
      <c r="E476" s="14" t="str">
        <f>HYPERLINK("https://twitter.com/NicolePMeehan/status/1036252969942110208","1036252969942110208")</f>
        <v>1036252969942110208</v>
      </c>
      <c r="F476" s="16" t="s">
        <v>1110</v>
      </c>
      <c r="G476" s="15"/>
      <c r="H476" s="15"/>
      <c r="I476" s="17">
        <v>2</v>
      </c>
      <c r="J476" s="17">
        <v>8</v>
      </c>
      <c r="K476" s="18" t="str">
        <f t="shared" si="110"/>
        <v>Twitter for iPhone</v>
      </c>
      <c r="L476" s="17">
        <v>221</v>
      </c>
      <c r="M476" s="17">
        <v>167</v>
      </c>
      <c r="N476" s="17">
        <v>8</v>
      </c>
      <c r="O476" s="19"/>
      <c r="P476" s="10">
        <v>40180.658402777779</v>
      </c>
      <c r="Q476" s="20" t="s">
        <v>109</v>
      </c>
      <c r="R476" s="21" t="s">
        <v>110</v>
      </c>
      <c r="S476" s="16" t="s">
        <v>111</v>
      </c>
      <c r="T476" s="15"/>
      <c r="U476" s="14" t="str">
        <f>HYPERLINK("https://pbs.twimg.com/profile_images/933068958151868421/CiyZIYTW.jpg","View")</f>
        <v>View</v>
      </c>
    </row>
    <row r="477" spans="1:21" ht="30">
      <c r="A477" s="10">
        <v>43345.217372685191</v>
      </c>
      <c r="B477" s="11" t="str">
        <f>HYPERLINK("https://twitter.com/sgwhibley","@sgwhibley")</f>
        <v>@sgwhibley</v>
      </c>
      <c r="C477" s="12" t="s">
        <v>342</v>
      </c>
      <c r="D477" s="13" t="s">
        <v>1194</v>
      </c>
      <c r="E477" s="14" t="str">
        <f>HYPERLINK("https://twitter.com/sgwhibley/status/1036225479240503296","1036225479240503296")</f>
        <v>1036225479240503296</v>
      </c>
      <c r="F477" s="15"/>
      <c r="G477" s="15"/>
      <c r="H477" s="15"/>
      <c r="I477" s="17">
        <v>1</v>
      </c>
      <c r="J477" s="17">
        <v>7</v>
      </c>
      <c r="K477" s="18" t="str">
        <f t="shared" si="110"/>
        <v>Twitter for iPhone</v>
      </c>
      <c r="L477" s="17">
        <v>572</v>
      </c>
      <c r="M477" s="17">
        <v>1279</v>
      </c>
      <c r="N477" s="17">
        <v>21</v>
      </c>
      <c r="O477" s="19"/>
      <c r="P477" s="10">
        <v>39853.471828703703</v>
      </c>
      <c r="Q477" s="20" t="s">
        <v>345</v>
      </c>
      <c r="R477" s="21" t="s">
        <v>346</v>
      </c>
      <c r="S477" s="15"/>
      <c r="T477" s="15"/>
      <c r="U477" s="14" t="str">
        <f>HYPERLINK("https://pbs.twimg.com/profile_images/992805147213549570/RZxxNOLa.jpg","View")</f>
        <v>View</v>
      </c>
    </row>
    <row r="478" spans="1:21" ht="60">
      <c r="A478" s="10">
        <v>43345.217037037037</v>
      </c>
      <c r="B478" s="11" t="str">
        <f>HYPERLINK("https://twitter.com/GlennCumiskey","@GlennCumiskey")</f>
        <v>@GlennCumiskey</v>
      </c>
      <c r="C478" s="12" t="s">
        <v>44</v>
      </c>
      <c r="D478" s="13" t="s">
        <v>1195</v>
      </c>
      <c r="E478" s="14" t="str">
        <f>HYPERLINK("https://twitter.com/GlennCumiskey/status/1036225361506435078","1036225361506435078")</f>
        <v>1036225361506435078</v>
      </c>
      <c r="F478" s="16" t="s">
        <v>1196</v>
      </c>
      <c r="G478" s="15"/>
      <c r="H478" s="15"/>
      <c r="I478" s="17">
        <v>5</v>
      </c>
      <c r="J478" s="17">
        <v>5</v>
      </c>
      <c r="K478" s="18" t="str">
        <f>HYPERLINK("http://twitter.com","Twitter Web Client")</f>
        <v>Twitter Web Client</v>
      </c>
      <c r="L478" s="17">
        <v>745</v>
      </c>
      <c r="M478" s="17">
        <v>981</v>
      </c>
      <c r="N478" s="17">
        <v>20</v>
      </c>
      <c r="O478" s="19"/>
      <c r="P478" s="10">
        <v>42144.285949074074</v>
      </c>
      <c r="Q478" s="20" t="s">
        <v>41</v>
      </c>
      <c r="R478" s="21" t="s">
        <v>47</v>
      </c>
      <c r="S478" s="16" t="s">
        <v>48</v>
      </c>
      <c r="T478" s="15"/>
      <c r="U478" s="14" t="str">
        <f>HYPERLINK("https://pbs.twimg.com/profile_images/601028262463197186/84Oaa8F-.jpg","View")</f>
        <v>View</v>
      </c>
    </row>
    <row r="479" spans="1:21" ht="40">
      <c r="A479" s="10">
        <v>43344.420914351853</v>
      </c>
      <c r="B479" s="11" t="str">
        <f>HYPERLINK("https://twitter.com/IsabelBordes","@IsabelBordes")</f>
        <v>@IsabelBordes</v>
      </c>
      <c r="C479" s="12" t="s">
        <v>1197</v>
      </c>
      <c r="D479" s="13" t="s">
        <v>1198</v>
      </c>
      <c r="E479" s="14" t="str">
        <f>HYPERLINK("https://twitter.com/IsabelBordes/status/1035936854233817091","1035936854233817091")</f>
        <v>1035936854233817091</v>
      </c>
      <c r="F479" s="15"/>
      <c r="G479" s="15"/>
      <c r="H479" s="15"/>
      <c r="I479" s="17">
        <v>0</v>
      </c>
      <c r="J479" s="17">
        <v>5</v>
      </c>
      <c r="K479" s="18" t="str">
        <f>HYPERLINK("http://twitter.com/download/iphone","Twitter for iPhone")</f>
        <v>Twitter for iPhone</v>
      </c>
      <c r="L479" s="17">
        <v>96</v>
      </c>
      <c r="M479" s="17">
        <v>299</v>
      </c>
      <c r="N479" s="17">
        <v>2</v>
      </c>
      <c r="O479" s="19"/>
      <c r="P479" s="10">
        <v>43181.662187499998</v>
      </c>
      <c r="Q479" s="20" t="s">
        <v>1199</v>
      </c>
      <c r="R479" s="21" t="s">
        <v>1200</v>
      </c>
      <c r="S479" s="15"/>
      <c r="T479" s="15"/>
      <c r="U479" s="14" t="str">
        <f>HYPERLINK("https://pbs.twimg.com/profile_images/976956081942487040/bMI-eWo6.jpg","View")</f>
        <v>View</v>
      </c>
    </row>
    <row r="480" spans="1:21" ht="30">
      <c r="A480" s="10">
        <v>43344.188657407409</v>
      </c>
      <c r="B480" s="11" t="str">
        <f>HYPERLINK("https://twitter.com/lisejaillant","@lisejaillant")</f>
        <v>@lisejaillant</v>
      </c>
      <c r="C480" s="12" t="s">
        <v>1201</v>
      </c>
      <c r="D480" s="13" t="s">
        <v>1202</v>
      </c>
      <c r="E480" s="14" t="str">
        <f>HYPERLINK("https://twitter.com/lisejaillant/status/1035852686493724672","1035852686493724672")</f>
        <v>1035852686493724672</v>
      </c>
      <c r="F480" s="16" t="s">
        <v>1170</v>
      </c>
      <c r="G480" s="15"/>
      <c r="H480" s="15"/>
      <c r="I480" s="17">
        <v>1</v>
      </c>
      <c r="J480" s="17">
        <v>3</v>
      </c>
      <c r="K480" s="18" t="str">
        <f>HYPERLINK("http://twitter.com","Twitter Web Client")</f>
        <v>Twitter Web Client</v>
      </c>
      <c r="L480" s="17">
        <v>2023</v>
      </c>
      <c r="M480" s="17">
        <v>1900</v>
      </c>
      <c r="N480" s="17">
        <v>36</v>
      </c>
      <c r="O480" s="19"/>
      <c r="P480" s="10">
        <v>40510.748912037037</v>
      </c>
      <c r="Q480" s="15"/>
      <c r="R480" s="21" t="s">
        <v>1203</v>
      </c>
      <c r="S480" s="16" t="s">
        <v>1204</v>
      </c>
      <c r="T480" s="15"/>
      <c r="U480" s="14" t="str">
        <f>HYPERLINK("https://pbs.twimg.com/profile_images/670958952318967809/x7nqYpWh.png","View")</f>
        <v>View</v>
      </c>
    </row>
    <row r="481" spans="1:21" ht="70">
      <c r="A481" s="10">
        <v>43344.075243055559</v>
      </c>
      <c r="B481" s="11" t="str">
        <f>HYPERLINK("https://twitter.com/SimonTanner","@SimonTanner")</f>
        <v>@SimonTanner</v>
      </c>
      <c r="C481" s="12" t="s">
        <v>856</v>
      </c>
      <c r="D481" s="13" t="s">
        <v>1205</v>
      </c>
      <c r="E481" s="14" t="str">
        <f>HYPERLINK("https://twitter.com/SimonTanner/status/1035811588874354688","1035811588874354688")</f>
        <v>1035811588874354688</v>
      </c>
      <c r="F481" s="20" t="s">
        <v>1206</v>
      </c>
      <c r="G481" s="15"/>
      <c r="H481" s="15"/>
      <c r="I481" s="17">
        <v>8</v>
      </c>
      <c r="J481" s="17">
        <v>19</v>
      </c>
      <c r="K481" s="18" t="str">
        <f t="shared" ref="K481:K482" si="111">HYPERLINK("http://twitter.com/download/android","Twitter for Android")</f>
        <v>Twitter for Android</v>
      </c>
      <c r="L481" s="17">
        <v>6330</v>
      </c>
      <c r="M481" s="17">
        <v>3709</v>
      </c>
      <c r="N481" s="17">
        <v>371</v>
      </c>
      <c r="O481" s="19"/>
      <c r="P481" s="10">
        <v>39157.121157407411</v>
      </c>
      <c r="Q481" s="20" t="s">
        <v>220</v>
      </c>
      <c r="R481" s="21" t="s">
        <v>859</v>
      </c>
      <c r="S481" s="16" t="s">
        <v>860</v>
      </c>
      <c r="T481" s="15"/>
      <c r="U481" s="14" t="str">
        <f>HYPERLINK("https://pbs.twimg.com/profile_images/1003922778599428096/avuDtDod.jpg","View")</f>
        <v>View</v>
      </c>
    </row>
    <row r="482" spans="1:21" ht="60">
      <c r="A482" s="10">
        <v>43343.474166666667</v>
      </c>
      <c r="B482" s="11" t="str">
        <f>HYPERLINK("https://twitter.com/GeorgiaMallin","@GeorgiaMallin")</f>
        <v>@GeorgiaMallin</v>
      </c>
      <c r="C482" s="12" t="s">
        <v>126</v>
      </c>
      <c r="D482" s="13" t="s">
        <v>1207</v>
      </c>
      <c r="E482" s="14" t="str">
        <f>HYPERLINK("https://twitter.com/GeorgiaMallin/status/1035593764834889728","1035593764834889728")</f>
        <v>1035593764834889728</v>
      </c>
      <c r="F482" s="15"/>
      <c r="G482" s="16" t="s">
        <v>1208</v>
      </c>
      <c r="H482" s="15"/>
      <c r="I482" s="17">
        <v>2</v>
      </c>
      <c r="J482" s="17">
        <v>27</v>
      </c>
      <c r="K482" s="18" t="str">
        <f t="shared" si="111"/>
        <v>Twitter for Android</v>
      </c>
      <c r="L482" s="17">
        <v>528</v>
      </c>
      <c r="M482" s="17">
        <v>1025</v>
      </c>
      <c r="N482" s="17">
        <v>11</v>
      </c>
      <c r="O482" s="19"/>
      <c r="P482" s="10">
        <v>40905.701087962967</v>
      </c>
      <c r="Q482" s="20" t="s">
        <v>41</v>
      </c>
      <c r="R482" s="21" t="s">
        <v>128</v>
      </c>
      <c r="S482" s="15"/>
      <c r="T482" s="15"/>
      <c r="U482" s="14" t="str">
        <f>HYPERLINK("https://pbs.twimg.com/profile_images/874631103193206784/akQp_6iv.jpg","View")</f>
        <v>View</v>
      </c>
    </row>
    <row r="483" spans="1:21" ht="40">
      <c r="A483" s="10">
        <v>43343.382430555561</v>
      </c>
      <c r="B483" s="11" t="str">
        <f>HYPERLINK("https://twitter.com/jasonmarkwebber","@jasonmarkwebber")</f>
        <v>@jasonmarkwebber</v>
      </c>
      <c r="C483" s="12" t="s">
        <v>1134</v>
      </c>
      <c r="D483" s="13" t="s">
        <v>1209</v>
      </c>
      <c r="E483" s="14" t="str">
        <f>HYPERLINK("https://twitter.com/jasonmarkwebber/status/1035560520278061057","1035560520278061057")</f>
        <v>1035560520278061057</v>
      </c>
      <c r="F483" s="15"/>
      <c r="G483" s="15"/>
      <c r="H483" s="15"/>
      <c r="I483" s="17">
        <v>12</v>
      </c>
      <c r="J483" s="17">
        <v>40</v>
      </c>
      <c r="K483" s="18" t="str">
        <f t="shared" ref="K483:K488" si="112">HYPERLINK("http://twitter.com","Twitter Web Client")</f>
        <v>Twitter Web Client</v>
      </c>
      <c r="L483" s="17">
        <v>1252</v>
      </c>
      <c r="M483" s="17">
        <v>1712</v>
      </c>
      <c r="N483" s="17">
        <v>84</v>
      </c>
      <c r="O483" s="19"/>
      <c r="P483" s="10">
        <v>39562.156990740739</v>
      </c>
      <c r="Q483" s="20" t="s">
        <v>56</v>
      </c>
      <c r="R483" s="21" t="s">
        <v>1137</v>
      </c>
      <c r="S483" s="15"/>
      <c r="T483" s="15"/>
      <c r="U483" s="14" t="str">
        <f>HYPERLINK("https://pbs.twimg.com/profile_images/916208295907557376/6e5grB0q.jpg","View")</f>
        <v>View</v>
      </c>
    </row>
    <row r="484" spans="1:21" ht="30">
      <c r="A484" s="10">
        <v>43343.366041666668</v>
      </c>
      <c r="B484" s="11" t="str">
        <f>HYPERLINK("https://twitter.com/ariasmariap","@ariasmariap")</f>
        <v>@ariasmariap</v>
      </c>
      <c r="C484" s="12" t="s">
        <v>78</v>
      </c>
      <c r="D484" s="13" t="s">
        <v>1210</v>
      </c>
      <c r="E484" s="14" t="str">
        <f>HYPERLINK("https://twitter.com/ariasmariap/status/1035554579906215936","1035554579906215936")</f>
        <v>1035554579906215936</v>
      </c>
      <c r="F484" s="16" t="s">
        <v>1183</v>
      </c>
      <c r="G484" s="16" t="s">
        <v>1211</v>
      </c>
      <c r="H484" s="15"/>
      <c r="I484" s="17">
        <v>0</v>
      </c>
      <c r="J484" s="17">
        <v>15</v>
      </c>
      <c r="K484" s="18" t="str">
        <f t="shared" si="112"/>
        <v>Twitter Web Client</v>
      </c>
      <c r="L484" s="17">
        <v>701</v>
      </c>
      <c r="M484" s="17">
        <v>1482</v>
      </c>
      <c r="N484" s="17">
        <v>30</v>
      </c>
      <c r="O484" s="19"/>
      <c r="P484" s="10">
        <v>40598.646608796298</v>
      </c>
      <c r="Q484" s="20" t="s">
        <v>69</v>
      </c>
      <c r="R484" s="21" t="s">
        <v>81</v>
      </c>
      <c r="S484" s="16" t="s">
        <v>82</v>
      </c>
      <c r="T484" s="15"/>
      <c r="U484" s="14" t="str">
        <f>HYPERLINK("https://pbs.twimg.com/profile_images/960267047631491074/kA0rW9c9.jpg","View")</f>
        <v>View</v>
      </c>
    </row>
    <row r="485" spans="1:21" ht="40">
      <c r="A485" s="10">
        <v>43343.326736111107</v>
      </c>
      <c r="B485" s="11" t="str">
        <f>HYPERLINK("https://twitter.com/GlennCumiskey","@GlennCumiskey")</f>
        <v>@GlennCumiskey</v>
      </c>
      <c r="C485" s="12" t="s">
        <v>44</v>
      </c>
      <c r="D485" s="13" t="s">
        <v>1212</v>
      </c>
      <c r="E485" s="14" t="str">
        <f>HYPERLINK("https://twitter.com/GlennCumiskey/status/1035540336280514561","1035540336280514561")</f>
        <v>1035540336280514561</v>
      </c>
      <c r="F485" s="16" t="s">
        <v>1170</v>
      </c>
      <c r="G485" s="16" t="s">
        <v>1213</v>
      </c>
      <c r="H485" s="15"/>
      <c r="I485" s="17">
        <v>16</v>
      </c>
      <c r="J485" s="17">
        <v>28</v>
      </c>
      <c r="K485" s="18" t="str">
        <f t="shared" si="112"/>
        <v>Twitter Web Client</v>
      </c>
      <c r="L485" s="17">
        <v>745</v>
      </c>
      <c r="M485" s="17">
        <v>981</v>
      </c>
      <c r="N485" s="17">
        <v>20</v>
      </c>
      <c r="O485" s="19"/>
      <c r="P485" s="10">
        <v>42144.285949074074</v>
      </c>
      <c r="Q485" s="20" t="s">
        <v>41</v>
      </c>
      <c r="R485" s="21" t="s">
        <v>47</v>
      </c>
      <c r="S485" s="16" t="s">
        <v>48</v>
      </c>
      <c r="T485" s="15"/>
      <c r="U485" s="14" t="str">
        <f>HYPERLINK("https://pbs.twimg.com/profile_images/601028262463197186/84Oaa8F-.jpg","View")</f>
        <v>View</v>
      </c>
    </row>
    <row r="486" spans="1:21" ht="60">
      <c r="A486" s="10">
        <v>43343.287048611106</v>
      </c>
      <c r="B486" s="11" t="str">
        <f>HYPERLINK("https://twitter.com/holly_hou","@holly_hou")</f>
        <v>@holly_hou</v>
      </c>
      <c r="C486" s="12" t="s">
        <v>1214</v>
      </c>
      <c r="D486" s="13" t="s">
        <v>1215</v>
      </c>
      <c r="E486" s="14" t="str">
        <f>HYPERLINK("https://twitter.com/holly_hou/status/1035525953076846597","1035525953076846597")</f>
        <v>1035525953076846597</v>
      </c>
      <c r="F486" s="20" t="s">
        <v>1216</v>
      </c>
      <c r="G486" s="15"/>
      <c r="H486" s="15"/>
      <c r="I486" s="17">
        <v>1</v>
      </c>
      <c r="J486" s="17">
        <v>5</v>
      </c>
      <c r="K486" s="18" t="str">
        <f t="shared" si="112"/>
        <v>Twitter Web Client</v>
      </c>
      <c r="L486" s="17">
        <v>34</v>
      </c>
      <c r="M486" s="17">
        <v>130</v>
      </c>
      <c r="N486" s="17">
        <v>0</v>
      </c>
      <c r="O486" s="19"/>
      <c r="P486" s="10">
        <v>42027.619016203702</v>
      </c>
      <c r="Q486" s="20" t="s">
        <v>56</v>
      </c>
      <c r="R486" s="21" t="s">
        <v>1217</v>
      </c>
      <c r="S486" s="15"/>
      <c r="T486" s="15"/>
      <c r="U486" s="14" t="str">
        <f>HYPERLINK("https://pbs.twimg.com/profile_images/1022817612944875520/RCuXBLH0.jpg","View")</f>
        <v>View</v>
      </c>
    </row>
    <row r="487" spans="1:21" ht="20">
      <c r="A487" s="10">
        <v>43343.221967592588</v>
      </c>
      <c r="B487" s="11" t="str">
        <f>HYPERLINK("https://twitter.com/cathal","@cathal")</f>
        <v>@cathal</v>
      </c>
      <c r="C487" s="12" t="s">
        <v>1218</v>
      </c>
      <c r="D487" s="13" t="s">
        <v>1219</v>
      </c>
      <c r="E487" s="14" t="str">
        <f>HYPERLINK("https://twitter.com/cathal/status/1035502368576753665","1035502368576753665")</f>
        <v>1035502368576753665</v>
      </c>
      <c r="F487" s="15"/>
      <c r="G487" s="15"/>
      <c r="H487" s="15"/>
      <c r="I487" s="17">
        <v>0</v>
      </c>
      <c r="J487" s="17">
        <v>5</v>
      </c>
      <c r="K487" s="18" t="str">
        <f t="shared" si="112"/>
        <v>Twitter Web Client</v>
      </c>
      <c r="L487" s="17">
        <v>894</v>
      </c>
      <c r="M487" s="17">
        <v>552</v>
      </c>
      <c r="N487" s="17">
        <v>71</v>
      </c>
      <c r="O487" s="19"/>
      <c r="P487" s="10">
        <v>39310.137789351851</v>
      </c>
      <c r="Q487" s="20" t="s">
        <v>836</v>
      </c>
      <c r="R487" s="21" t="s">
        <v>1220</v>
      </c>
      <c r="S487" s="16" t="s">
        <v>1221</v>
      </c>
      <c r="T487" s="15"/>
      <c r="U487" s="14" t="str">
        <f>HYPERLINK("https://pbs.twimg.com/profile_images/762395416797339648/j463TWKI.jpg","View")</f>
        <v>View</v>
      </c>
    </row>
    <row r="488" spans="1:21" ht="40">
      <c r="A488" s="10">
        <v>43343.201990740738</v>
      </c>
      <c r="B488" s="11" t="str">
        <f>HYPERLINK("https://twitter.com/mirrorweb","@mirrorweb")</f>
        <v>@mirrorweb</v>
      </c>
      <c r="C488" s="12" t="s">
        <v>514</v>
      </c>
      <c r="D488" s="13" t="s">
        <v>1222</v>
      </c>
      <c r="E488" s="14" t="str">
        <f>HYPERLINK("https://twitter.com/mirrorweb/status/1035495131061858304","1035495131061858304")</f>
        <v>1035495131061858304</v>
      </c>
      <c r="F488" s="15"/>
      <c r="G488" s="16" t="s">
        <v>1223</v>
      </c>
      <c r="H488" s="15"/>
      <c r="I488" s="17">
        <v>2</v>
      </c>
      <c r="J488" s="17">
        <v>4</v>
      </c>
      <c r="K488" s="18" t="str">
        <f t="shared" si="112"/>
        <v>Twitter Web Client</v>
      </c>
      <c r="L488" s="17">
        <v>314</v>
      </c>
      <c r="M488" s="17">
        <v>205</v>
      </c>
      <c r="N488" s="17">
        <v>12</v>
      </c>
      <c r="O488" s="19"/>
      <c r="P488" s="10">
        <v>40989.079467592594</v>
      </c>
      <c r="Q488" s="20" t="s">
        <v>517</v>
      </c>
      <c r="R488" s="21" t="s">
        <v>518</v>
      </c>
      <c r="S488" s="16" t="s">
        <v>519</v>
      </c>
      <c r="T488" s="15"/>
      <c r="U488" s="14" t="str">
        <f>HYPERLINK("https://pbs.twimg.com/profile_images/923585489688563713/iN-U1XNO.jpg","View")</f>
        <v>View</v>
      </c>
    </row>
    <row r="489" spans="1:21" ht="50">
      <c r="A489" s="10">
        <v>43343.145914351851</v>
      </c>
      <c r="B489" s="11" t="str">
        <f>HYPERLINK("https://twitter.com/CoSector_UoL","@CoSector_UoL")</f>
        <v>@CoSector_UoL</v>
      </c>
      <c r="C489" s="12" t="s">
        <v>365</v>
      </c>
      <c r="D489" s="13" t="s">
        <v>1224</v>
      </c>
      <c r="E489" s="14" t="str">
        <f>HYPERLINK("https://twitter.com/CoSector_UoL/status/1035474808555884544","1035474808555884544")</f>
        <v>1035474808555884544</v>
      </c>
      <c r="F489" s="15"/>
      <c r="G489" s="15"/>
      <c r="H489" s="15"/>
      <c r="I489" s="17">
        <v>3</v>
      </c>
      <c r="J489" s="17">
        <v>4</v>
      </c>
      <c r="K489" s="18" t="str">
        <f>HYPERLINK("http://www.hubspot.com/","HubSpot")</f>
        <v>HubSpot</v>
      </c>
      <c r="L489" s="17">
        <v>276</v>
      </c>
      <c r="M489" s="17">
        <v>181</v>
      </c>
      <c r="N489" s="17">
        <v>72</v>
      </c>
      <c r="O489" s="19"/>
      <c r="P489" s="10">
        <v>42646.315104166672</v>
      </c>
      <c r="Q489" s="20" t="s">
        <v>41</v>
      </c>
      <c r="R489" s="21" t="s">
        <v>368</v>
      </c>
      <c r="S489" s="16" t="s">
        <v>369</v>
      </c>
      <c r="T489" s="15"/>
      <c r="U489" s="14" t="str">
        <f>HYPERLINK("https://pbs.twimg.com/profile_images/843757398221361154/z6PbdLFZ.jpg","View")</f>
        <v>View</v>
      </c>
    </row>
    <row r="490" spans="1:21" ht="30">
      <c r="A490" s="10">
        <v>43343.106238425928</v>
      </c>
      <c r="B490" s="11" t="str">
        <f>HYPERLINK("https://twitter.com/arranjrees","@arranjrees")</f>
        <v>@arranjrees</v>
      </c>
      <c r="C490" s="12" t="s">
        <v>490</v>
      </c>
      <c r="D490" s="13" t="s">
        <v>1225</v>
      </c>
      <c r="E490" s="14" t="str">
        <f>HYPERLINK("https://twitter.com/arranjrees/status/1035460430704070657","1035460430704070657")</f>
        <v>1035460430704070657</v>
      </c>
      <c r="F490" s="15"/>
      <c r="G490" s="15"/>
      <c r="H490" s="15"/>
      <c r="I490" s="17">
        <v>0</v>
      </c>
      <c r="J490" s="17">
        <v>5</v>
      </c>
      <c r="K490" s="18" t="str">
        <f>HYPERLINK("http://twitter.com/download/android","Twitter for Android")</f>
        <v>Twitter for Android</v>
      </c>
      <c r="L490" s="17">
        <v>1717</v>
      </c>
      <c r="M490" s="17">
        <v>929</v>
      </c>
      <c r="N490" s="17">
        <v>32</v>
      </c>
      <c r="O490" s="19"/>
      <c r="P490" s="10">
        <v>40550.554884259262</v>
      </c>
      <c r="Q490" s="20" t="s">
        <v>458</v>
      </c>
      <c r="R490" s="21" t="s">
        <v>493</v>
      </c>
      <c r="S490" s="16" t="s">
        <v>494</v>
      </c>
      <c r="T490" s="15"/>
      <c r="U490" s="14" t="str">
        <f>HYPERLINK("https://pbs.twimg.com/profile_images/1027536161080860673/iP5ROxDR.jpg","View")</f>
        <v>View</v>
      </c>
    </row>
    <row r="491" spans="1:21" ht="30">
      <c r="A491" s="10">
        <v>43343.09443287037</v>
      </c>
      <c r="B491" s="11" t="str">
        <f>HYPERLINK("https://twitter.com/WilliamKilbride","@WilliamKilbride")</f>
        <v>@WilliamKilbride</v>
      </c>
      <c r="C491" s="12" t="s">
        <v>49</v>
      </c>
      <c r="D491" s="13" t="s">
        <v>1226</v>
      </c>
      <c r="E491" s="14" t="str">
        <f>HYPERLINK("https://twitter.com/WilliamKilbride/status/1035456153092861953","1035456153092861953")</f>
        <v>1035456153092861953</v>
      </c>
      <c r="F491" s="15"/>
      <c r="G491" s="15"/>
      <c r="H491" s="15"/>
      <c r="I491" s="17">
        <v>7</v>
      </c>
      <c r="J491" s="17">
        <v>12</v>
      </c>
      <c r="K491" s="18" t="str">
        <f>HYPERLINK("https://about.twitter.com/products/tweetdeck","TweetDeck")</f>
        <v>TweetDeck</v>
      </c>
      <c r="L491" s="17">
        <v>3065</v>
      </c>
      <c r="M491" s="17">
        <v>582</v>
      </c>
      <c r="N491" s="17">
        <v>180</v>
      </c>
      <c r="O491" s="19"/>
      <c r="P491" s="10">
        <v>39917.310949074075</v>
      </c>
      <c r="Q491" s="20" t="s">
        <v>51</v>
      </c>
      <c r="R491" s="21" t="s">
        <v>52</v>
      </c>
      <c r="S491" s="16" t="s">
        <v>53</v>
      </c>
      <c r="T491" s="15"/>
      <c r="U491" s="14" t="str">
        <f>HYPERLINK("https://pbs.twimg.com/profile_images/606802634499080192/ZWLKLGdh.png","View")</f>
        <v>View</v>
      </c>
    </row>
    <row r="492" spans="1:21" ht="50">
      <c r="A492" s="10">
        <v>43343.038136574076</v>
      </c>
      <c r="B492" s="11" t="str">
        <f>HYPERLINK("https://twitter.com/CaylinSSmith","@CaylinSSmith")</f>
        <v>@CaylinSSmith</v>
      </c>
      <c r="C492" s="12" t="s">
        <v>204</v>
      </c>
      <c r="D492" s="13" t="s">
        <v>1227</v>
      </c>
      <c r="E492" s="14" t="str">
        <f>HYPERLINK("https://twitter.com/CaylinSSmith/status/1035435753445253120","1035435753445253120")</f>
        <v>1035435753445253120</v>
      </c>
      <c r="F492" s="16" t="s">
        <v>1228</v>
      </c>
      <c r="G492" s="15"/>
      <c r="H492" s="15"/>
      <c r="I492" s="17">
        <v>6</v>
      </c>
      <c r="J492" s="17">
        <v>4</v>
      </c>
      <c r="K492" s="18" t="str">
        <f t="shared" ref="K492:K494" si="113">HYPERLINK("http://twitter.com","Twitter Web Client")</f>
        <v>Twitter Web Client</v>
      </c>
      <c r="L492" s="17">
        <v>1013</v>
      </c>
      <c r="M492" s="17">
        <v>2629</v>
      </c>
      <c r="N492" s="17">
        <v>68</v>
      </c>
      <c r="O492" s="19"/>
      <c r="P492" s="10">
        <v>40376.763761574075</v>
      </c>
      <c r="Q492" s="20" t="s">
        <v>206</v>
      </c>
      <c r="R492" s="21" t="s">
        <v>207</v>
      </c>
      <c r="S492" s="16" t="s">
        <v>208</v>
      </c>
      <c r="T492" s="15"/>
      <c r="U492" s="14" t="str">
        <f>HYPERLINK("https://pbs.twimg.com/profile_images/1027591872028524545/k9Xatqj3.jpg","View")</f>
        <v>View</v>
      </c>
    </row>
    <row r="493" spans="1:21" ht="40">
      <c r="A493" s="10">
        <v>43342.443009259259</v>
      </c>
      <c r="B493" s="11" t="str">
        <f>HYPERLINK("https://twitter.com/natalieharrower","@natalieharrower")</f>
        <v>@natalieharrower</v>
      </c>
      <c r="C493" s="12" t="s">
        <v>59</v>
      </c>
      <c r="D493" s="13" t="s">
        <v>1229</v>
      </c>
      <c r="E493" s="14" t="str">
        <f>HYPERLINK("https://twitter.com/natalieharrower/status/1035220084585844736","1035220084585844736")</f>
        <v>1035220084585844736</v>
      </c>
      <c r="F493" s="16" t="s">
        <v>1170</v>
      </c>
      <c r="G493" s="15"/>
      <c r="H493" s="15"/>
      <c r="I493" s="17">
        <v>2</v>
      </c>
      <c r="J493" s="17">
        <v>6</v>
      </c>
      <c r="K493" s="18" t="str">
        <f t="shared" si="113"/>
        <v>Twitter Web Client</v>
      </c>
      <c r="L493" s="17">
        <v>2422</v>
      </c>
      <c r="M493" s="17">
        <v>2344</v>
      </c>
      <c r="N493" s="17">
        <v>164</v>
      </c>
      <c r="O493" s="19"/>
      <c r="P493" s="10">
        <v>39751.545844907407</v>
      </c>
      <c r="Q493" s="20" t="s">
        <v>61</v>
      </c>
      <c r="R493" s="21" t="s">
        <v>62</v>
      </c>
      <c r="S493" s="16" t="s">
        <v>63</v>
      </c>
      <c r="T493" s="15"/>
      <c r="U493" s="14" t="str">
        <f>HYPERLINK("https://pbs.twimg.com/profile_images/992918977172000769/pPUq69N4.jpg","View")</f>
        <v>View</v>
      </c>
    </row>
    <row r="494" spans="1:21" ht="30">
      <c r="A494" s="10">
        <v>43342.393518518518</v>
      </c>
      <c r="B494" s="11" t="str">
        <f>HYPERLINK("https://twitter.com/imasolutions3d","@imasolutions3d")</f>
        <v>@imasolutions3d</v>
      </c>
      <c r="C494" s="12" t="s">
        <v>31</v>
      </c>
      <c r="D494" s="13" t="s">
        <v>1230</v>
      </c>
      <c r="E494" s="14" t="str">
        <f>HYPERLINK("https://twitter.com/imasolutions3d/status/1035202152195612673","1035202152195612673")</f>
        <v>1035202152195612673</v>
      </c>
      <c r="F494" s="15"/>
      <c r="G494" s="16" t="s">
        <v>1231</v>
      </c>
      <c r="H494" s="15"/>
      <c r="I494" s="17">
        <v>1</v>
      </c>
      <c r="J494" s="17">
        <v>5</v>
      </c>
      <c r="K494" s="18" t="str">
        <f t="shared" si="113"/>
        <v>Twitter Web Client</v>
      </c>
      <c r="L494" s="17">
        <v>165</v>
      </c>
      <c r="M494" s="17">
        <v>176</v>
      </c>
      <c r="N494" s="17">
        <v>5</v>
      </c>
      <c r="O494" s="19"/>
      <c r="P494" s="10">
        <v>40006.618842592594</v>
      </c>
      <c r="Q494" s="20" t="s">
        <v>34</v>
      </c>
      <c r="R494" s="21" t="s">
        <v>35</v>
      </c>
      <c r="S494" s="16" t="s">
        <v>36</v>
      </c>
      <c r="T494" s="15"/>
      <c r="U494" s="14" t="str">
        <f>HYPERLINK("https://pbs.twimg.com/profile_images/1930776324/logo_google_.jpg","View")</f>
        <v>View</v>
      </c>
    </row>
    <row r="495" spans="1:21" ht="40">
      <c r="A495" s="10">
        <v>43341.369560185187</v>
      </c>
      <c r="B495" s="11" t="str">
        <f>HYPERLINK("https://twitter.com/SharonMcMeekin","@SharonMcMeekin")</f>
        <v>@SharonMcMeekin</v>
      </c>
      <c r="C495" s="12" t="s">
        <v>183</v>
      </c>
      <c r="D495" s="13" t="s">
        <v>1232</v>
      </c>
      <c r="E495" s="14" t="str">
        <f>HYPERLINK("https://twitter.com/SharonMcMeekin/status/1034831078719213568","1034831078719213568")</f>
        <v>1034831078719213568</v>
      </c>
      <c r="F495" s="16" t="s">
        <v>1233</v>
      </c>
      <c r="G495" s="15"/>
      <c r="H495" s="15"/>
      <c r="I495" s="17">
        <v>0</v>
      </c>
      <c r="J495" s="17">
        <v>5</v>
      </c>
      <c r="K495" s="18" t="str">
        <f t="shared" ref="K495:K496" si="114">HYPERLINK("https://about.twitter.com/products/tweetdeck","TweetDeck")</f>
        <v>TweetDeck</v>
      </c>
      <c r="L495" s="17">
        <v>1275</v>
      </c>
      <c r="M495" s="17">
        <v>312</v>
      </c>
      <c r="N495" s="17">
        <v>64</v>
      </c>
      <c r="O495" s="19"/>
      <c r="P495" s="10">
        <v>40255.238877314812</v>
      </c>
      <c r="Q495" s="20" t="s">
        <v>131</v>
      </c>
      <c r="R495" s="21" t="s">
        <v>185</v>
      </c>
      <c r="S495" s="16" t="s">
        <v>182</v>
      </c>
      <c r="T495" s="15"/>
      <c r="U495" s="14" t="str">
        <f>HYPERLINK("https://pbs.twimg.com/profile_images/839880688551743488/pXTyqWcy.jpg","View")</f>
        <v>View</v>
      </c>
    </row>
    <row r="496" spans="1:21" ht="50">
      <c r="A496" s="10">
        <v>43341.098391203705</v>
      </c>
      <c r="B496" s="11" t="str">
        <f>HYPERLINK("https://twitter.com/Sarah_DPC","@Sarah_DPC")</f>
        <v>@Sarah_DPC</v>
      </c>
      <c r="C496" s="12" t="s">
        <v>178</v>
      </c>
      <c r="D496" s="13" t="s">
        <v>1234</v>
      </c>
      <c r="E496" s="14" t="str">
        <f>HYPERLINK("https://twitter.com/Sarah_DPC/status/1034732811637481473","1034732811637481473")</f>
        <v>1034732811637481473</v>
      </c>
      <c r="F496" s="16" t="s">
        <v>1235</v>
      </c>
      <c r="G496" s="15"/>
      <c r="H496" s="15"/>
      <c r="I496" s="17">
        <v>4</v>
      </c>
      <c r="J496" s="17">
        <v>9</v>
      </c>
      <c r="K496" s="18" t="str">
        <f t="shared" si="114"/>
        <v>TweetDeck</v>
      </c>
      <c r="L496" s="17">
        <v>1270</v>
      </c>
      <c r="M496" s="17">
        <v>715</v>
      </c>
      <c r="N496" s="17">
        <v>51</v>
      </c>
      <c r="O496" s="19"/>
      <c r="P496" s="10">
        <v>41373.188576388886</v>
      </c>
      <c r="Q496" s="20" t="s">
        <v>180</v>
      </c>
      <c r="R496" s="21" t="s">
        <v>181</v>
      </c>
      <c r="S496" s="16" t="s">
        <v>182</v>
      </c>
      <c r="T496" s="15"/>
      <c r="U496" s="14" t="str">
        <f>HYPERLINK("https://pbs.twimg.com/profile_images/867263862726434816/K2qoO6sD.jpg","View")</f>
        <v>View</v>
      </c>
    </row>
    <row r="497" spans="1:21" ht="50">
      <c r="A497" s="10">
        <v>43340.157858796301</v>
      </c>
      <c r="B497" s="11" t="str">
        <f>HYPERLINK("https://twitter.com/GeorgiaMallin","@GeorgiaMallin")</f>
        <v>@GeorgiaMallin</v>
      </c>
      <c r="C497" s="12" t="s">
        <v>126</v>
      </c>
      <c r="D497" s="13" t="s">
        <v>1236</v>
      </c>
      <c r="E497" s="14" t="str">
        <f>HYPERLINK("https://twitter.com/GeorgiaMallin/status/1034391974554607616","1034391974554607616")</f>
        <v>1034391974554607616</v>
      </c>
      <c r="F497" s="16" t="s">
        <v>1170</v>
      </c>
      <c r="G497" s="15"/>
      <c r="H497" s="15"/>
      <c r="I497" s="17">
        <v>1</v>
      </c>
      <c r="J497" s="17">
        <v>8</v>
      </c>
      <c r="K497" s="18" t="str">
        <f>HYPERLINK("http://twitter.com","Twitter Web Client")</f>
        <v>Twitter Web Client</v>
      </c>
      <c r="L497" s="17">
        <v>528</v>
      </c>
      <c r="M497" s="17">
        <v>1025</v>
      </c>
      <c r="N497" s="17">
        <v>11</v>
      </c>
      <c r="O497" s="19"/>
      <c r="P497" s="10">
        <v>40905.701087962967</v>
      </c>
      <c r="Q497" s="20" t="s">
        <v>41</v>
      </c>
      <c r="R497" s="21" t="s">
        <v>128</v>
      </c>
      <c r="S497" s="15"/>
      <c r="T497" s="15"/>
      <c r="U497" s="14" t="str">
        <f>HYPERLINK("https://pbs.twimg.com/profile_images/874631103193206784/akQp_6iv.jpg","View")</f>
        <v>View</v>
      </c>
    </row>
    <row r="498" spans="1:21" ht="12.5">
      <c r="A498" s="26"/>
      <c r="B498" s="27"/>
      <c r="C498" s="27"/>
      <c r="D498" s="28"/>
      <c r="E498" s="19"/>
      <c r="F498" s="15"/>
      <c r="G498" s="15"/>
      <c r="H498" s="15"/>
      <c r="I498" s="19">
        <f>SUM(I3:I497)</f>
        <v>1132</v>
      </c>
      <c r="J498" s="19">
        <f>SUM(J3:J497)</f>
        <v>3024</v>
      </c>
      <c r="K498" s="15"/>
      <c r="L498" s="19"/>
      <c r="M498" s="19"/>
      <c r="N498" s="19"/>
      <c r="O498" s="19"/>
      <c r="P498" s="26"/>
      <c r="Q498" s="15"/>
      <c r="R498" s="22"/>
      <c r="S498" s="15"/>
      <c r="T498" s="15"/>
      <c r="U498" s="19"/>
    </row>
    <row r="499" spans="1:21" ht="12.5">
      <c r="A499" s="29"/>
      <c r="B499" s="27"/>
      <c r="C499" s="27"/>
      <c r="D499" s="28"/>
      <c r="E499" s="19"/>
      <c r="F499" s="19"/>
      <c r="G499" s="19"/>
      <c r="H499" s="19"/>
      <c r="I499" s="19"/>
      <c r="J499" s="19"/>
      <c r="K499" s="19"/>
      <c r="L499" s="19"/>
      <c r="M499" s="19"/>
      <c r="N499" s="19"/>
      <c r="O499" s="19"/>
      <c r="P499" s="19"/>
      <c r="Q499" s="15"/>
      <c r="R499" s="22"/>
      <c r="S499" s="19"/>
      <c r="T499" s="19"/>
      <c r="U499" s="19"/>
    </row>
    <row r="500" spans="1:21" ht="12.5">
      <c r="A500" s="29"/>
      <c r="B500" s="27"/>
      <c r="C500" s="27"/>
      <c r="D500" s="28"/>
      <c r="E500" s="19"/>
      <c r="F500" s="19"/>
      <c r="G500" s="19"/>
      <c r="H500" s="19"/>
      <c r="I500" s="19"/>
      <c r="J500" s="19"/>
      <c r="K500" s="19"/>
      <c r="L500" s="19"/>
      <c r="M500" s="19"/>
      <c r="N500" s="19"/>
      <c r="O500" s="19"/>
      <c r="P500" s="19"/>
      <c r="Q500" s="15"/>
      <c r="R500" s="22"/>
      <c r="S500" s="19"/>
      <c r="T500" s="19"/>
      <c r="U500" s="19"/>
    </row>
    <row r="501" spans="1:21" ht="12.5">
      <c r="A501" s="29"/>
      <c r="B501" s="27"/>
      <c r="C501" s="27"/>
      <c r="D501" s="28"/>
      <c r="E501" s="19"/>
      <c r="F501" s="19"/>
      <c r="G501" s="19"/>
      <c r="H501" s="19"/>
      <c r="I501" s="19"/>
      <c r="J501" s="19"/>
      <c r="K501" s="19"/>
      <c r="L501" s="19"/>
      <c r="M501" s="19"/>
      <c r="N501" s="19"/>
      <c r="O501" s="19"/>
      <c r="P501" s="19"/>
      <c r="Q501" s="15"/>
      <c r="R501" s="22"/>
      <c r="S501" s="19"/>
      <c r="T501" s="19"/>
      <c r="U501" s="19"/>
    </row>
    <row r="502" spans="1:21" ht="12.5">
      <c r="A502" s="29"/>
      <c r="B502" s="27"/>
      <c r="C502" s="27"/>
      <c r="D502" s="28"/>
      <c r="E502" s="19"/>
      <c r="F502" s="19"/>
      <c r="G502" s="19"/>
      <c r="H502" s="19"/>
      <c r="I502" s="19"/>
      <c r="J502" s="19"/>
      <c r="K502" s="19"/>
      <c r="L502" s="19"/>
      <c r="M502" s="19"/>
      <c r="N502" s="19"/>
      <c r="O502" s="19"/>
      <c r="P502" s="19"/>
      <c r="Q502" s="15"/>
      <c r="R502" s="22"/>
      <c r="S502" s="19"/>
      <c r="T502" s="19"/>
      <c r="U502" s="19"/>
    </row>
    <row r="503" spans="1:21" ht="12.5">
      <c r="A503" s="29"/>
      <c r="B503" s="27"/>
      <c r="C503" s="27"/>
      <c r="D503" s="28"/>
      <c r="E503" s="19"/>
      <c r="F503" s="19"/>
      <c r="G503" s="19"/>
      <c r="H503" s="19"/>
      <c r="I503" s="19"/>
      <c r="J503" s="19"/>
      <c r="K503" s="19"/>
      <c r="L503" s="19"/>
      <c r="M503" s="19"/>
      <c r="N503" s="19"/>
      <c r="O503" s="19"/>
      <c r="P503" s="19"/>
      <c r="Q503" s="15"/>
      <c r="R503" s="22"/>
      <c r="S503" s="19"/>
      <c r="T503" s="19"/>
      <c r="U503" s="19"/>
    </row>
    <row r="504" spans="1:21" ht="12.5">
      <c r="A504" s="29"/>
      <c r="B504" s="27"/>
      <c r="C504" s="27"/>
      <c r="D504" s="28"/>
      <c r="E504" s="19"/>
      <c r="F504" s="19"/>
      <c r="G504" s="19"/>
      <c r="H504" s="19"/>
      <c r="I504" s="19"/>
      <c r="J504" s="19"/>
      <c r="K504" s="19"/>
      <c r="L504" s="19"/>
      <c r="M504" s="19"/>
      <c r="N504" s="19"/>
      <c r="O504" s="19"/>
      <c r="P504" s="19"/>
      <c r="Q504" s="15"/>
      <c r="R504" s="22"/>
      <c r="S504" s="19"/>
      <c r="T504" s="19"/>
      <c r="U504" s="19"/>
    </row>
    <row r="505" spans="1:21" ht="12.5">
      <c r="A505" s="23"/>
      <c r="B505" s="27"/>
      <c r="C505" s="27"/>
      <c r="D505" s="28"/>
      <c r="E505" s="19"/>
      <c r="F505" s="19"/>
      <c r="G505" s="19"/>
      <c r="H505" s="19"/>
      <c r="I505" s="19"/>
      <c r="J505" s="19"/>
      <c r="K505" s="19"/>
      <c r="L505" s="19"/>
      <c r="M505" s="19"/>
      <c r="N505" s="19"/>
      <c r="O505" s="19"/>
      <c r="P505" s="19"/>
      <c r="Q505" s="15"/>
      <c r="R505" s="22"/>
      <c r="S505" s="19"/>
      <c r="T505" s="19"/>
      <c r="U505" s="19"/>
    </row>
    <row r="506" spans="1:21" ht="12.5">
      <c r="A506" s="29"/>
      <c r="B506" s="27"/>
      <c r="C506" s="27"/>
      <c r="D506" s="28"/>
      <c r="E506" s="19"/>
      <c r="F506" s="19"/>
      <c r="G506" s="19"/>
      <c r="H506" s="19"/>
      <c r="I506" s="19"/>
      <c r="J506" s="19"/>
      <c r="K506" s="19"/>
      <c r="L506" s="19"/>
      <c r="M506" s="19"/>
      <c r="N506" s="19"/>
      <c r="O506" s="19"/>
      <c r="P506" s="19"/>
      <c r="Q506" s="15"/>
      <c r="R506" s="22"/>
      <c r="S506" s="19"/>
      <c r="T506" s="19"/>
      <c r="U506" s="19"/>
    </row>
    <row r="507" spans="1:21" ht="12.5">
      <c r="A507" s="29"/>
      <c r="B507" s="27"/>
      <c r="C507" s="27"/>
      <c r="D507" s="28"/>
      <c r="E507" s="19"/>
      <c r="F507" s="19"/>
      <c r="G507" s="19"/>
      <c r="H507" s="19"/>
      <c r="I507" s="19"/>
      <c r="J507" s="19"/>
      <c r="K507" s="19"/>
      <c r="L507" s="19"/>
      <c r="M507" s="19"/>
      <c r="N507" s="19"/>
      <c r="O507" s="19"/>
      <c r="P507" s="19"/>
      <c r="Q507" s="15"/>
      <c r="R507" s="22"/>
      <c r="S507" s="19"/>
      <c r="T507" s="19"/>
      <c r="U507" s="19"/>
    </row>
    <row r="508" spans="1:21" ht="12.5">
      <c r="A508" s="29"/>
      <c r="B508" s="27"/>
      <c r="C508" s="27"/>
      <c r="D508" s="28"/>
      <c r="E508" s="19"/>
      <c r="F508" s="19"/>
      <c r="G508" s="19"/>
      <c r="H508" s="19"/>
      <c r="I508" s="19"/>
      <c r="J508" s="19"/>
      <c r="K508" s="19"/>
      <c r="L508" s="19"/>
      <c r="M508" s="19"/>
      <c r="N508" s="19"/>
      <c r="O508" s="19"/>
      <c r="P508" s="19"/>
      <c r="Q508" s="15"/>
      <c r="R508" s="22"/>
      <c r="S508" s="19"/>
      <c r="T508" s="19"/>
      <c r="U508" s="19"/>
    </row>
    <row r="509" spans="1:21" ht="12.5">
      <c r="A509" s="29"/>
      <c r="B509" s="27"/>
      <c r="C509" s="27"/>
      <c r="D509" s="28"/>
      <c r="E509" s="19"/>
      <c r="F509" s="19"/>
      <c r="G509" s="19"/>
      <c r="H509" s="19"/>
      <c r="I509" s="19"/>
      <c r="J509" s="19"/>
      <c r="K509" s="19"/>
      <c r="L509" s="19"/>
      <c r="M509" s="19"/>
      <c r="N509" s="19"/>
      <c r="O509" s="19"/>
      <c r="P509" s="19"/>
      <c r="Q509" s="15"/>
      <c r="R509" s="22"/>
      <c r="S509" s="19"/>
      <c r="T509" s="19"/>
      <c r="U509" s="19"/>
    </row>
    <row r="510" spans="1:21" ht="12.5">
      <c r="A510" s="29"/>
      <c r="B510" s="27"/>
      <c r="C510" s="27"/>
      <c r="D510" s="28"/>
      <c r="E510" s="19"/>
      <c r="F510" s="19"/>
      <c r="G510" s="19"/>
      <c r="H510" s="19"/>
      <c r="I510" s="19"/>
      <c r="J510" s="19"/>
      <c r="K510" s="19"/>
      <c r="L510" s="19"/>
      <c r="M510" s="19"/>
      <c r="N510" s="19"/>
      <c r="O510" s="19"/>
      <c r="P510" s="19"/>
      <c r="Q510" s="15"/>
      <c r="R510" s="22"/>
      <c r="S510" s="19"/>
      <c r="T510" s="19"/>
      <c r="U510" s="19"/>
    </row>
    <row r="511" spans="1:21" ht="12.5">
      <c r="A511" s="29"/>
      <c r="B511" s="27"/>
      <c r="C511" s="27"/>
      <c r="D511" s="28"/>
      <c r="E511" s="19"/>
      <c r="F511" s="19"/>
      <c r="G511" s="19"/>
      <c r="H511" s="19"/>
      <c r="I511" s="19"/>
      <c r="J511" s="19"/>
      <c r="K511" s="19"/>
      <c r="L511" s="19"/>
      <c r="M511" s="19"/>
      <c r="N511" s="19"/>
      <c r="O511" s="19"/>
      <c r="P511" s="19"/>
      <c r="Q511" s="15"/>
      <c r="R511" s="22"/>
      <c r="S511" s="19"/>
      <c r="T511" s="19"/>
      <c r="U511" s="19"/>
    </row>
    <row r="512" spans="1:21" ht="12.5">
      <c r="A512" s="29"/>
      <c r="B512" s="27"/>
      <c r="C512" s="27"/>
      <c r="D512" s="28"/>
      <c r="E512" s="19"/>
      <c r="F512" s="19"/>
      <c r="G512" s="19"/>
      <c r="H512" s="19"/>
      <c r="I512" s="19"/>
      <c r="J512" s="19"/>
      <c r="K512" s="19"/>
      <c r="L512" s="19"/>
      <c r="M512" s="19"/>
      <c r="N512" s="19"/>
      <c r="O512" s="19"/>
      <c r="P512" s="19"/>
      <c r="Q512" s="15"/>
      <c r="R512" s="22"/>
      <c r="S512" s="19"/>
      <c r="T512" s="19"/>
      <c r="U512" s="19"/>
    </row>
    <row r="513" spans="1:21" ht="12.5">
      <c r="A513" s="29"/>
      <c r="B513" s="27"/>
      <c r="C513" s="27"/>
      <c r="D513" s="28"/>
      <c r="E513" s="19"/>
      <c r="F513" s="19"/>
      <c r="G513" s="19"/>
      <c r="H513" s="19"/>
      <c r="I513" s="19"/>
      <c r="J513" s="19"/>
      <c r="K513" s="19"/>
      <c r="L513" s="19"/>
      <c r="M513" s="19"/>
      <c r="N513" s="19"/>
      <c r="O513" s="19"/>
      <c r="P513" s="19"/>
      <c r="Q513" s="15"/>
      <c r="R513" s="22"/>
      <c r="S513" s="19"/>
      <c r="T513" s="19"/>
      <c r="U513" s="19"/>
    </row>
    <row r="514" spans="1:21" ht="12.5">
      <c r="A514" s="29"/>
      <c r="B514" s="27"/>
      <c r="C514" s="27"/>
      <c r="D514" s="28"/>
      <c r="E514" s="19"/>
      <c r="F514" s="19"/>
      <c r="G514" s="19"/>
      <c r="H514" s="19"/>
      <c r="I514" s="19"/>
      <c r="J514" s="19"/>
      <c r="K514" s="19"/>
      <c r="L514" s="19"/>
      <c r="M514" s="19"/>
      <c r="N514" s="19"/>
      <c r="O514" s="19"/>
      <c r="P514" s="19"/>
      <c r="Q514" s="15"/>
      <c r="R514" s="22"/>
      <c r="S514" s="19"/>
      <c r="T514" s="19"/>
      <c r="U514" s="19"/>
    </row>
    <row r="515" spans="1:21" ht="12.5">
      <c r="A515" s="29"/>
      <c r="B515" s="27"/>
      <c r="C515" s="27"/>
      <c r="D515" s="28"/>
      <c r="E515" s="19"/>
      <c r="F515" s="19"/>
      <c r="G515" s="19"/>
      <c r="H515" s="19"/>
      <c r="I515" s="19"/>
      <c r="J515" s="19"/>
      <c r="K515" s="19"/>
      <c r="L515" s="19"/>
      <c r="M515" s="19"/>
      <c r="N515" s="19"/>
      <c r="O515" s="19"/>
      <c r="P515" s="19"/>
      <c r="Q515" s="15"/>
      <c r="R515" s="22"/>
      <c r="S515" s="19"/>
      <c r="T515" s="19"/>
      <c r="U515" s="19"/>
    </row>
    <row r="516" spans="1:21" ht="12.5">
      <c r="A516" s="29"/>
      <c r="B516" s="27"/>
      <c r="C516" s="27"/>
      <c r="D516" s="28"/>
      <c r="E516" s="19"/>
      <c r="F516" s="19"/>
      <c r="G516" s="19"/>
      <c r="H516" s="19"/>
      <c r="I516" s="19"/>
      <c r="J516" s="19"/>
      <c r="K516" s="19"/>
      <c r="L516" s="19"/>
      <c r="M516" s="19"/>
      <c r="N516" s="19"/>
      <c r="O516" s="19"/>
      <c r="P516" s="19"/>
      <c r="Q516" s="15"/>
      <c r="R516" s="22"/>
      <c r="S516" s="19"/>
      <c r="T516" s="19"/>
      <c r="U516" s="19"/>
    </row>
    <row r="517" spans="1:21" ht="12.5">
      <c r="A517" s="29"/>
      <c r="B517" s="27"/>
      <c r="C517" s="27"/>
      <c r="D517" s="28"/>
      <c r="E517" s="19"/>
      <c r="F517" s="19"/>
      <c r="G517" s="19"/>
      <c r="H517" s="19"/>
      <c r="I517" s="19"/>
      <c r="J517" s="19"/>
      <c r="K517" s="19"/>
      <c r="L517" s="19"/>
      <c r="M517" s="19"/>
      <c r="N517" s="19"/>
      <c r="O517" s="19"/>
      <c r="P517" s="19"/>
      <c r="Q517" s="15"/>
      <c r="R517" s="22"/>
      <c r="S517" s="19"/>
      <c r="T517" s="19"/>
      <c r="U517" s="19"/>
    </row>
    <row r="518" spans="1:21" ht="12.5">
      <c r="A518" s="29"/>
      <c r="B518" s="27"/>
      <c r="C518" s="27"/>
      <c r="D518" s="28"/>
      <c r="E518" s="19"/>
      <c r="F518" s="19"/>
      <c r="G518" s="19"/>
      <c r="H518" s="19"/>
      <c r="I518" s="19"/>
      <c r="J518" s="19"/>
      <c r="K518" s="19"/>
      <c r="L518" s="19"/>
      <c r="M518" s="19"/>
      <c r="N518" s="19"/>
      <c r="O518" s="19"/>
      <c r="P518" s="19"/>
      <c r="Q518" s="15"/>
      <c r="R518" s="22"/>
      <c r="S518" s="19"/>
      <c r="T518" s="19"/>
      <c r="U518" s="19"/>
    </row>
    <row r="519" spans="1:21" ht="12.5">
      <c r="A519" s="29"/>
      <c r="B519" s="27"/>
      <c r="C519" s="27"/>
      <c r="D519" s="28"/>
      <c r="E519" s="19"/>
      <c r="F519" s="19"/>
      <c r="G519" s="19"/>
      <c r="H519" s="19"/>
      <c r="I519" s="19"/>
      <c r="J519" s="19"/>
      <c r="K519" s="19"/>
      <c r="L519" s="19"/>
      <c r="M519" s="19"/>
      <c r="N519" s="19"/>
      <c r="O519" s="19"/>
      <c r="P519" s="19"/>
      <c r="Q519" s="15"/>
      <c r="R519" s="22"/>
      <c r="S519" s="19"/>
      <c r="T519" s="19"/>
      <c r="U519" s="19"/>
    </row>
    <row r="520" spans="1:21" ht="12.5">
      <c r="A520" s="29"/>
      <c r="B520" s="27"/>
      <c r="C520" s="27"/>
      <c r="D520" s="28"/>
      <c r="E520" s="19"/>
      <c r="F520" s="19"/>
      <c r="G520" s="19"/>
      <c r="H520" s="19"/>
      <c r="I520" s="19"/>
      <c r="J520" s="19"/>
      <c r="K520" s="19"/>
      <c r="L520" s="19"/>
      <c r="M520" s="19"/>
      <c r="N520" s="19"/>
      <c r="O520" s="19"/>
      <c r="P520" s="19"/>
      <c r="Q520" s="15"/>
      <c r="R520" s="22"/>
      <c r="S520" s="19"/>
      <c r="T520" s="19"/>
      <c r="U520" s="19"/>
    </row>
  </sheetData>
  <mergeCells count="2">
    <mergeCell ref="A1:K1"/>
    <mergeCell ref="L1:U1"/>
  </mergeCells>
  <hyperlinks>
    <hyperlink ref="G3" r:id="rId1" xr:uid="{00000000-0004-0000-0200-000000000000}"/>
    <hyperlink ref="S3" r:id="rId2" xr:uid="{00000000-0004-0000-0200-000001000000}"/>
    <hyperlink ref="G4" r:id="rId3" xr:uid="{00000000-0004-0000-0200-000002000000}"/>
    <hyperlink ref="S4" r:id="rId4" xr:uid="{00000000-0004-0000-0200-000003000000}"/>
    <hyperlink ref="F5" r:id="rId5" xr:uid="{00000000-0004-0000-0200-000004000000}"/>
    <hyperlink ref="G5" r:id="rId6" xr:uid="{00000000-0004-0000-0200-000005000000}"/>
    <hyperlink ref="S5" r:id="rId7" xr:uid="{00000000-0004-0000-0200-000006000000}"/>
    <hyperlink ref="F6" r:id="rId8" xr:uid="{00000000-0004-0000-0200-000007000000}"/>
    <hyperlink ref="S6" r:id="rId9" xr:uid="{00000000-0004-0000-0200-000008000000}"/>
    <hyperlink ref="S7" r:id="rId10" xr:uid="{00000000-0004-0000-0200-000009000000}"/>
    <hyperlink ref="S8" r:id="rId11" xr:uid="{00000000-0004-0000-0200-00000A000000}"/>
    <hyperlink ref="S9" r:id="rId12" xr:uid="{00000000-0004-0000-0200-00000B000000}"/>
    <hyperlink ref="G10" r:id="rId13" xr:uid="{00000000-0004-0000-0200-00000C000000}"/>
    <hyperlink ref="S10" r:id="rId14" xr:uid="{00000000-0004-0000-0200-00000D000000}"/>
    <hyperlink ref="F11" r:id="rId15" xr:uid="{00000000-0004-0000-0200-00000E000000}"/>
    <hyperlink ref="G13" r:id="rId16" xr:uid="{00000000-0004-0000-0200-00000F000000}"/>
    <hyperlink ref="S13" r:id="rId17" xr:uid="{00000000-0004-0000-0200-000010000000}"/>
    <hyperlink ref="G14" r:id="rId18" xr:uid="{00000000-0004-0000-0200-000011000000}"/>
    <hyperlink ref="S14" r:id="rId19" xr:uid="{00000000-0004-0000-0200-000012000000}"/>
    <hyperlink ref="S17" r:id="rId20" xr:uid="{00000000-0004-0000-0200-000013000000}"/>
    <hyperlink ref="G19" r:id="rId21" xr:uid="{00000000-0004-0000-0200-000014000000}"/>
    <hyperlink ref="S19" r:id="rId22" xr:uid="{00000000-0004-0000-0200-000015000000}"/>
    <hyperlink ref="F20" r:id="rId23" xr:uid="{00000000-0004-0000-0200-000016000000}"/>
    <hyperlink ref="G20" r:id="rId24" xr:uid="{00000000-0004-0000-0200-000017000000}"/>
    <hyperlink ref="S20" r:id="rId25" xr:uid="{00000000-0004-0000-0200-000018000000}"/>
    <hyperlink ref="S21" r:id="rId26" xr:uid="{00000000-0004-0000-0200-000019000000}"/>
    <hyperlink ref="G22" r:id="rId27" xr:uid="{00000000-0004-0000-0200-00001A000000}"/>
    <hyperlink ref="S22" r:id="rId28" xr:uid="{00000000-0004-0000-0200-00001B000000}"/>
    <hyperlink ref="G23" r:id="rId29" xr:uid="{00000000-0004-0000-0200-00001C000000}"/>
    <hyperlink ref="S25" r:id="rId30" xr:uid="{00000000-0004-0000-0200-00001D000000}"/>
    <hyperlink ref="S26" r:id="rId31" xr:uid="{00000000-0004-0000-0200-00001E000000}"/>
    <hyperlink ref="G27" r:id="rId32" xr:uid="{00000000-0004-0000-0200-00001F000000}"/>
    <hyperlink ref="S27" r:id="rId33" xr:uid="{00000000-0004-0000-0200-000020000000}"/>
    <hyperlink ref="G28" r:id="rId34" xr:uid="{00000000-0004-0000-0200-000021000000}"/>
    <hyperlink ref="G29" r:id="rId35" xr:uid="{00000000-0004-0000-0200-000022000000}"/>
    <hyperlink ref="S29" r:id="rId36" xr:uid="{00000000-0004-0000-0200-000023000000}"/>
    <hyperlink ref="S31" r:id="rId37" xr:uid="{00000000-0004-0000-0200-000024000000}"/>
    <hyperlink ref="G33" r:id="rId38" xr:uid="{00000000-0004-0000-0200-000025000000}"/>
    <hyperlink ref="S33" r:id="rId39" xr:uid="{00000000-0004-0000-0200-000026000000}"/>
    <hyperlink ref="G34" r:id="rId40" xr:uid="{00000000-0004-0000-0200-000027000000}"/>
    <hyperlink ref="S34" r:id="rId41" xr:uid="{00000000-0004-0000-0200-000028000000}"/>
    <hyperlink ref="S35" r:id="rId42" xr:uid="{00000000-0004-0000-0200-000029000000}"/>
    <hyperlink ref="G36" r:id="rId43" xr:uid="{00000000-0004-0000-0200-00002A000000}"/>
    <hyperlink ref="S36" r:id="rId44" xr:uid="{00000000-0004-0000-0200-00002B000000}"/>
    <hyperlink ref="G37" r:id="rId45" xr:uid="{00000000-0004-0000-0200-00002C000000}"/>
    <hyperlink ref="S38" r:id="rId46" xr:uid="{00000000-0004-0000-0200-00002D000000}"/>
    <hyperlink ref="S39" r:id="rId47" xr:uid="{00000000-0004-0000-0200-00002E000000}"/>
    <hyperlink ref="S40" r:id="rId48" xr:uid="{00000000-0004-0000-0200-00002F000000}"/>
    <hyperlink ref="S41" r:id="rId49" xr:uid="{00000000-0004-0000-0200-000030000000}"/>
    <hyperlink ref="S42" r:id="rId50" xr:uid="{00000000-0004-0000-0200-000031000000}"/>
    <hyperlink ref="S43" r:id="rId51" xr:uid="{00000000-0004-0000-0200-000032000000}"/>
    <hyperlink ref="F44" r:id="rId52" xr:uid="{00000000-0004-0000-0200-000033000000}"/>
    <hyperlink ref="G44" r:id="rId53" xr:uid="{00000000-0004-0000-0200-000034000000}"/>
    <hyperlink ref="G45" r:id="rId54" xr:uid="{00000000-0004-0000-0200-000035000000}"/>
    <hyperlink ref="S45" r:id="rId55" xr:uid="{00000000-0004-0000-0200-000036000000}"/>
    <hyperlink ref="S46" r:id="rId56" xr:uid="{00000000-0004-0000-0200-000037000000}"/>
    <hyperlink ref="S47" r:id="rId57" xr:uid="{00000000-0004-0000-0200-000038000000}"/>
    <hyperlink ref="S48" r:id="rId58" xr:uid="{00000000-0004-0000-0200-000039000000}"/>
    <hyperlink ref="S49" r:id="rId59" xr:uid="{00000000-0004-0000-0200-00003A000000}"/>
    <hyperlink ref="S50" r:id="rId60" xr:uid="{00000000-0004-0000-0200-00003B000000}"/>
    <hyperlink ref="G51" r:id="rId61" xr:uid="{00000000-0004-0000-0200-00003C000000}"/>
    <hyperlink ref="S51" r:id="rId62" xr:uid="{00000000-0004-0000-0200-00003D000000}"/>
    <hyperlink ref="S53" r:id="rId63" xr:uid="{00000000-0004-0000-0200-00003E000000}"/>
    <hyperlink ref="S54" r:id="rId64" xr:uid="{00000000-0004-0000-0200-00003F000000}"/>
    <hyperlink ref="F55" r:id="rId65" xr:uid="{00000000-0004-0000-0200-000040000000}"/>
    <hyperlink ref="S55" r:id="rId66" xr:uid="{00000000-0004-0000-0200-000041000000}"/>
    <hyperlink ref="G56" r:id="rId67" xr:uid="{00000000-0004-0000-0200-000042000000}"/>
    <hyperlink ref="G57" r:id="rId68" xr:uid="{00000000-0004-0000-0200-000043000000}"/>
    <hyperlink ref="S57" r:id="rId69" xr:uid="{00000000-0004-0000-0200-000044000000}"/>
    <hyperlink ref="G58" r:id="rId70" xr:uid="{00000000-0004-0000-0200-000045000000}"/>
    <hyperlink ref="S59" r:id="rId71" xr:uid="{00000000-0004-0000-0200-000046000000}"/>
    <hyperlink ref="S60" r:id="rId72" xr:uid="{00000000-0004-0000-0200-000047000000}"/>
    <hyperlink ref="G61" r:id="rId73" xr:uid="{00000000-0004-0000-0200-000048000000}"/>
    <hyperlink ref="S61" r:id="rId74" xr:uid="{00000000-0004-0000-0200-000049000000}"/>
    <hyperlink ref="G62" r:id="rId75" xr:uid="{00000000-0004-0000-0200-00004A000000}"/>
    <hyperlink ref="S63" r:id="rId76" xr:uid="{00000000-0004-0000-0200-00004B000000}"/>
    <hyperlink ref="G64" r:id="rId77" xr:uid="{00000000-0004-0000-0200-00004C000000}"/>
    <hyperlink ref="S64" r:id="rId78" xr:uid="{00000000-0004-0000-0200-00004D000000}"/>
    <hyperlink ref="G65" r:id="rId79" xr:uid="{00000000-0004-0000-0200-00004E000000}"/>
    <hyperlink ref="S66" r:id="rId80" xr:uid="{00000000-0004-0000-0200-00004F000000}"/>
    <hyperlink ref="G67" r:id="rId81" xr:uid="{00000000-0004-0000-0200-000050000000}"/>
    <hyperlink ref="S67" r:id="rId82" xr:uid="{00000000-0004-0000-0200-000051000000}"/>
    <hyperlink ref="G68" r:id="rId83" xr:uid="{00000000-0004-0000-0200-000052000000}"/>
    <hyperlink ref="G69" r:id="rId84" xr:uid="{00000000-0004-0000-0200-000053000000}"/>
    <hyperlink ref="S69" r:id="rId85" xr:uid="{00000000-0004-0000-0200-000054000000}"/>
    <hyperlink ref="G70" r:id="rId86" xr:uid="{00000000-0004-0000-0200-000055000000}"/>
    <hyperlink ref="F71" r:id="rId87" xr:uid="{00000000-0004-0000-0200-000056000000}"/>
    <hyperlink ref="G72" r:id="rId88" xr:uid="{00000000-0004-0000-0200-000057000000}"/>
    <hyperlink ref="S73" r:id="rId89" xr:uid="{00000000-0004-0000-0200-000058000000}"/>
    <hyperlink ref="G74" r:id="rId90" xr:uid="{00000000-0004-0000-0200-000059000000}"/>
    <hyperlink ref="S74" r:id="rId91" xr:uid="{00000000-0004-0000-0200-00005A000000}"/>
    <hyperlink ref="G75" r:id="rId92" xr:uid="{00000000-0004-0000-0200-00005B000000}"/>
    <hyperlink ref="G76" r:id="rId93" xr:uid="{00000000-0004-0000-0200-00005C000000}"/>
    <hyperlink ref="S77" r:id="rId94" xr:uid="{00000000-0004-0000-0200-00005D000000}"/>
    <hyperlink ref="G78" r:id="rId95" xr:uid="{00000000-0004-0000-0200-00005E000000}"/>
    <hyperlink ref="S78" r:id="rId96" xr:uid="{00000000-0004-0000-0200-00005F000000}"/>
    <hyperlink ref="G79" r:id="rId97" xr:uid="{00000000-0004-0000-0200-000060000000}"/>
    <hyperlink ref="S79" r:id="rId98" xr:uid="{00000000-0004-0000-0200-000061000000}"/>
    <hyperlink ref="G80" r:id="rId99" xr:uid="{00000000-0004-0000-0200-000062000000}"/>
    <hyperlink ref="S80" r:id="rId100" xr:uid="{00000000-0004-0000-0200-000063000000}"/>
    <hyperlink ref="G81" r:id="rId101" xr:uid="{00000000-0004-0000-0200-000064000000}"/>
    <hyperlink ref="S81" r:id="rId102" xr:uid="{00000000-0004-0000-0200-000065000000}"/>
    <hyperlink ref="G82" r:id="rId103" xr:uid="{00000000-0004-0000-0200-000066000000}"/>
    <hyperlink ref="S82" r:id="rId104" xr:uid="{00000000-0004-0000-0200-000067000000}"/>
    <hyperlink ref="S83" r:id="rId105" xr:uid="{00000000-0004-0000-0200-000068000000}"/>
    <hyperlink ref="S84" r:id="rId106" xr:uid="{00000000-0004-0000-0200-000069000000}"/>
    <hyperlink ref="F85" r:id="rId107" xr:uid="{00000000-0004-0000-0200-00006A000000}"/>
    <hyperlink ref="G85" r:id="rId108" xr:uid="{00000000-0004-0000-0200-00006B000000}"/>
    <hyperlink ref="G86" r:id="rId109" xr:uid="{00000000-0004-0000-0200-00006C000000}"/>
    <hyperlink ref="S86" r:id="rId110" xr:uid="{00000000-0004-0000-0200-00006D000000}"/>
    <hyperlink ref="S87" r:id="rId111" xr:uid="{00000000-0004-0000-0200-00006E000000}"/>
    <hyperlink ref="S88" r:id="rId112" xr:uid="{00000000-0004-0000-0200-00006F000000}"/>
    <hyperlink ref="G89" r:id="rId113" xr:uid="{00000000-0004-0000-0200-000070000000}"/>
    <hyperlink ref="S89" r:id="rId114" xr:uid="{00000000-0004-0000-0200-000071000000}"/>
    <hyperlink ref="S90" r:id="rId115" xr:uid="{00000000-0004-0000-0200-000072000000}"/>
    <hyperlink ref="G91" r:id="rId116" xr:uid="{00000000-0004-0000-0200-000073000000}"/>
    <hyperlink ref="S92" r:id="rId117" xr:uid="{00000000-0004-0000-0200-000074000000}"/>
    <hyperlink ref="G93" r:id="rId118" xr:uid="{00000000-0004-0000-0200-000075000000}"/>
    <hyperlink ref="S94" r:id="rId119" xr:uid="{00000000-0004-0000-0200-000076000000}"/>
    <hyperlink ref="S96" r:id="rId120" xr:uid="{00000000-0004-0000-0200-000077000000}"/>
    <hyperlink ref="S97" r:id="rId121" xr:uid="{00000000-0004-0000-0200-000078000000}"/>
    <hyperlink ref="S99" r:id="rId122" xr:uid="{00000000-0004-0000-0200-000079000000}"/>
    <hyperlink ref="S100" r:id="rId123" xr:uid="{00000000-0004-0000-0200-00007A000000}"/>
    <hyperlink ref="S101" r:id="rId124" xr:uid="{00000000-0004-0000-0200-00007B000000}"/>
    <hyperlink ref="G102" r:id="rId125" xr:uid="{00000000-0004-0000-0200-00007C000000}"/>
    <hyperlink ref="S102" r:id="rId126" xr:uid="{00000000-0004-0000-0200-00007D000000}"/>
    <hyperlink ref="G103" r:id="rId127" xr:uid="{00000000-0004-0000-0200-00007E000000}"/>
    <hyperlink ref="S103" r:id="rId128" xr:uid="{00000000-0004-0000-0200-00007F000000}"/>
    <hyperlink ref="G104" r:id="rId129" xr:uid="{00000000-0004-0000-0200-000080000000}"/>
    <hyperlink ref="S104" r:id="rId130" xr:uid="{00000000-0004-0000-0200-000081000000}"/>
    <hyperlink ref="F105" r:id="rId131" xr:uid="{00000000-0004-0000-0200-000082000000}"/>
    <hyperlink ref="S105" r:id="rId132" xr:uid="{00000000-0004-0000-0200-000083000000}"/>
    <hyperlink ref="G106" r:id="rId133" xr:uid="{00000000-0004-0000-0200-000084000000}"/>
    <hyperlink ref="S106" r:id="rId134" xr:uid="{00000000-0004-0000-0200-000085000000}"/>
    <hyperlink ref="G107" r:id="rId135" xr:uid="{00000000-0004-0000-0200-000086000000}"/>
    <hyperlink ref="S107" r:id="rId136" xr:uid="{00000000-0004-0000-0200-000087000000}"/>
    <hyperlink ref="S108" r:id="rId137" xr:uid="{00000000-0004-0000-0200-000088000000}"/>
    <hyperlink ref="G109" r:id="rId138" xr:uid="{00000000-0004-0000-0200-000089000000}"/>
    <hyperlink ref="S109" r:id="rId139" xr:uid="{00000000-0004-0000-0200-00008A000000}"/>
    <hyperlink ref="G110" r:id="rId140" xr:uid="{00000000-0004-0000-0200-00008B000000}"/>
    <hyperlink ref="S110" r:id="rId141" xr:uid="{00000000-0004-0000-0200-00008C000000}"/>
    <hyperlink ref="S111" r:id="rId142" xr:uid="{00000000-0004-0000-0200-00008D000000}"/>
    <hyperlink ref="G112" r:id="rId143" xr:uid="{00000000-0004-0000-0200-00008E000000}"/>
    <hyperlink ref="S112" r:id="rId144" xr:uid="{00000000-0004-0000-0200-00008F000000}"/>
    <hyperlink ref="S114" r:id="rId145" xr:uid="{00000000-0004-0000-0200-000090000000}"/>
    <hyperlink ref="G115" r:id="rId146" xr:uid="{00000000-0004-0000-0200-000091000000}"/>
    <hyperlink ref="S115" r:id="rId147" xr:uid="{00000000-0004-0000-0200-000092000000}"/>
    <hyperlink ref="S116" r:id="rId148" xr:uid="{00000000-0004-0000-0200-000093000000}"/>
    <hyperlink ref="S117" r:id="rId149" xr:uid="{00000000-0004-0000-0200-000094000000}"/>
    <hyperlink ref="G118" r:id="rId150" xr:uid="{00000000-0004-0000-0200-000095000000}"/>
    <hyperlink ref="F119" r:id="rId151" xr:uid="{00000000-0004-0000-0200-000096000000}"/>
    <hyperlink ref="S119" r:id="rId152" xr:uid="{00000000-0004-0000-0200-000097000000}"/>
    <hyperlink ref="G120" r:id="rId153" xr:uid="{00000000-0004-0000-0200-000098000000}"/>
    <hyperlink ref="G121" r:id="rId154" xr:uid="{00000000-0004-0000-0200-000099000000}"/>
    <hyperlink ref="G122" r:id="rId155" xr:uid="{00000000-0004-0000-0200-00009A000000}"/>
    <hyperlink ref="S122" r:id="rId156" xr:uid="{00000000-0004-0000-0200-00009B000000}"/>
    <hyperlink ref="G123" r:id="rId157" xr:uid="{00000000-0004-0000-0200-00009C000000}"/>
    <hyperlink ref="G124" r:id="rId158" xr:uid="{00000000-0004-0000-0200-00009D000000}"/>
    <hyperlink ref="S124" r:id="rId159" xr:uid="{00000000-0004-0000-0200-00009E000000}"/>
    <hyperlink ref="S125" r:id="rId160" xr:uid="{00000000-0004-0000-0200-00009F000000}"/>
    <hyperlink ref="G126" r:id="rId161" xr:uid="{00000000-0004-0000-0200-0000A0000000}"/>
    <hyperlink ref="S126" r:id="rId162" xr:uid="{00000000-0004-0000-0200-0000A1000000}"/>
    <hyperlink ref="G127" r:id="rId163" xr:uid="{00000000-0004-0000-0200-0000A2000000}"/>
    <hyperlink ref="S127" r:id="rId164" xr:uid="{00000000-0004-0000-0200-0000A3000000}"/>
    <hyperlink ref="F128" r:id="rId165" xr:uid="{00000000-0004-0000-0200-0000A4000000}"/>
    <hyperlink ref="G128" r:id="rId166" xr:uid="{00000000-0004-0000-0200-0000A5000000}"/>
    <hyperlink ref="G129" r:id="rId167" xr:uid="{00000000-0004-0000-0200-0000A6000000}"/>
    <hyperlink ref="S129" r:id="rId168" xr:uid="{00000000-0004-0000-0200-0000A7000000}"/>
    <hyperlink ref="G130" r:id="rId169" xr:uid="{00000000-0004-0000-0200-0000A8000000}"/>
    <hyperlink ref="S130" r:id="rId170" xr:uid="{00000000-0004-0000-0200-0000A9000000}"/>
    <hyperlink ref="F131" r:id="rId171" xr:uid="{00000000-0004-0000-0200-0000AA000000}"/>
    <hyperlink ref="S131" r:id="rId172" xr:uid="{00000000-0004-0000-0200-0000AB000000}"/>
    <hyperlink ref="G132" r:id="rId173" xr:uid="{00000000-0004-0000-0200-0000AC000000}"/>
    <hyperlink ref="S132" r:id="rId174" xr:uid="{00000000-0004-0000-0200-0000AD000000}"/>
    <hyperlink ref="S133" r:id="rId175" xr:uid="{00000000-0004-0000-0200-0000AE000000}"/>
    <hyperlink ref="G134" r:id="rId176" xr:uid="{00000000-0004-0000-0200-0000AF000000}"/>
    <hyperlink ref="S134" r:id="rId177" xr:uid="{00000000-0004-0000-0200-0000B0000000}"/>
    <hyperlink ref="F135" r:id="rId178" xr:uid="{00000000-0004-0000-0200-0000B1000000}"/>
    <hyperlink ref="G135" r:id="rId179" xr:uid="{00000000-0004-0000-0200-0000B2000000}"/>
    <hyperlink ref="G136" r:id="rId180" xr:uid="{00000000-0004-0000-0200-0000B3000000}"/>
    <hyperlink ref="S136" r:id="rId181" xr:uid="{00000000-0004-0000-0200-0000B4000000}"/>
    <hyperlink ref="S137" r:id="rId182" xr:uid="{00000000-0004-0000-0200-0000B5000000}"/>
    <hyperlink ref="G139" r:id="rId183" xr:uid="{00000000-0004-0000-0200-0000B6000000}"/>
    <hyperlink ref="S139" r:id="rId184" xr:uid="{00000000-0004-0000-0200-0000B7000000}"/>
    <hyperlink ref="S140" r:id="rId185" xr:uid="{00000000-0004-0000-0200-0000B8000000}"/>
    <hyperlink ref="F141" r:id="rId186" xr:uid="{00000000-0004-0000-0200-0000B9000000}"/>
    <hyperlink ref="S141" r:id="rId187" xr:uid="{00000000-0004-0000-0200-0000BA000000}"/>
    <hyperlink ref="G142" r:id="rId188" xr:uid="{00000000-0004-0000-0200-0000BB000000}"/>
    <hyperlink ref="G143" r:id="rId189" xr:uid="{00000000-0004-0000-0200-0000BC000000}"/>
    <hyperlink ref="S143" r:id="rId190" xr:uid="{00000000-0004-0000-0200-0000BD000000}"/>
    <hyperlink ref="G144" r:id="rId191" xr:uid="{00000000-0004-0000-0200-0000BE000000}"/>
    <hyperlink ref="S144" r:id="rId192" xr:uid="{00000000-0004-0000-0200-0000BF000000}"/>
    <hyperlink ref="S145" r:id="rId193" xr:uid="{00000000-0004-0000-0200-0000C0000000}"/>
    <hyperlink ref="G146" r:id="rId194" xr:uid="{00000000-0004-0000-0200-0000C1000000}"/>
    <hyperlink ref="S146" r:id="rId195" xr:uid="{00000000-0004-0000-0200-0000C2000000}"/>
    <hyperlink ref="S147" r:id="rId196" xr:uid="{00000000-0004-0000-0200-0000C3000000}"/>
    <hyperlink ref="G148" r:id="rId197" xr:uid="{00000000-0004-0000-0200-0000C4000000}"/>
    <hyperlink ref="S148" r:id="rId198" xr:uid="{00000000-0004-0000-0200-0000C5000000}"/>
    <hyperlink ref="S149" r:id="rId199" xr:uid="{00000000-0004-0000-0200-0000C6000000}"/>
    <hyperlink ref="F150" r:id="rId200" xr:uid="{00000000-0004-0000-0200-0000C7000000}"/>
    <hyperlink ref="G150" r:id="rId201" xr:uid="{00000000-0004-0000-0200-0000C8000000}"/>
    <hyperlink ref="S150" r:id="rId202" xr:uid="{00000000-0004-0000-0200-0000C9000000}"/>
    <hyperlink ref="S152" r:id="rId203" xr:uid="{00000000-0004-0000-0200-0000CA000000}"/>
    <hyperlink ref="S153" r:id="rId204" xr:uid="{00000000-0004-0000-0200-0000CB000000}"/>
    <hyperlink ref="S154" r:id="rId205" xr:uid="{00000000-0004-0000-0200-0000CC000000}"/>
    <hyperlink ref="S155" r:id="rId206" xr:uid="{00000000-0004-0000-0200-0000CD000000}"/>
    <hyperlink ref="G156" r:id="rId207" xr:uid="{00000000-0004-0000-0200-0000CE000000}"/>
    <hyperlink ref="S156" r:id="rId208" xr:uid="{00000000-0004-0000-0200-0000CF000000}"/>
    <hyperlink ref="G157" r:id="rId209" xr:uid="{00000000-0004-0000-0200-0000D0000000}"/>
    <hyperlink ref="S158" r:id="rId210" xr:uid="{00000000-0004-0000-0200-0000D1000000}"/>
    <hyperlink ref="S159" r:id="rId211" xr:uid="{00000000-0004-0000-0200-0000D2000000}"/>
    <hyperlink ref="S160" r:id="rId212" xr:uid="{00000000-0004-0000-0200-0000D3000000}"/>
    <hyperlink ref="G161" r:id="rId213" xr:uid="{00000000-0004-0000-0200-0000D4000000}"/>
    <hyperlink ref="S161" r:id="rId214" xr:uid="{00000000-0004-0000-0200-0000D5000000}"/>
    <hyperlink ref="G162" r:id="rId215" xr:uid="{00000000-0004-0000-0200-0000D6000000}"/>
    <hyperlink ref="S163" r:id="rId216" xr:uid="{00000000-0004-0000-0200-0000D7000000}"/>
    <hyperlink ref="S164" r:id="rId217" xr:uid="{00000000-0004-0000-0200-0000D8000000}"/>
    <hyperlink ref="S165" r:id="rId218" xr:uid="{00000000-0004-0000-0200-0000D9000000}"/>
    <hyperlink ref="G166" r:id="rId219" xr:uid="{00000000-0004-0000-0200-0000DA000000}"/>
    <hyperlink ref="S166" r:id="rId220" xr:uid="{00000000-0004-0000-0200-0000DB000000}"/>
    <hyperlink ref="S167" r:id="rId221" xr:uid="{00000000-0004-0000-0200-0000DC000000}"/>
    <hyperlink ref="S170" r:id="rId222" xr:uid="{00000000-0004-0000-0200-0000DD000000}"/>
    <hyperlink ref="G171" r:id="rId223" xr:uid="{00000000-0004-0000-0200-0000DE000000}"/>
    <hyperlink ref="S171" r:id="rId224" xr:uid="{00000000-0004-0000-0200-0000DF000000}"/>
    <hyperlink ref="S172" r:id="rId225" xr:uid="{00000000-0004-0000-0200-0000E0000000}"/>
    <hyperlink ref="S173" r:id="rId226" xr:uid="{00000000-0004-0000-0200-0000E1000000}"/>
    <hyperlink ref="G174" r:id="rId227" xr:uid="{00000000-0004-0000-0200-0000E2000000}"/>
    <hyperlink ref="S174" r:id="rId228" xr:uid="{00000000-0004-0000-0200-0000E3000000}"/>
    <hyperlink ref="F175" r:id="rId229" xr:uid="{00000000-0004-0000-0200-0000E4000000}"/>
    <hyperlink ref="G175" r:id="rId230" xr:uid="{00000000-0004-0000-0200-0000E5000000}"/>
    <hyperlink ref="S175" r:id="rId231" xr:uid="{00000000-0004-0000-0200-0000E6000000}"/>
    <hyperlink ref="G177" r:id="rId232" xr:uid="{00000000-0004-0000-0200-0000E7000000}"/>
    <hyperlink ref="S177" r:id="rId233" xr:uid="{00000000-0004-0000-0200-0000E8000000}"/>
    <hyperlink ref="S178" r:id="rId234" xr:uid="{00000000-0004-0000-0200-0000E9000000}"/>
    <hyperlink ref="G179" r:id="rId235" xr:uid="{00000000-0004-0000-0200-0000EA000000}"/>
    <hyperlink ref="S179" r:id="rId236" xr:uid="{00000000-0004-0000-0200-0000EB000000}"/>
    <hyperlink ref="G180" r:id="rId237" xr:uid="{00000000-0004-0000-0200-0000EC000000}"/>
    <hyperlink ref="S180" r:id="rId238" xr:uid="{00000000-0004-0000-0200-0000ED000000}"/>
    <hyperlink ref="S182" r:id="rId239" xr:uid="{00000000-0004-0000-0200-0000EE000000}"/>
    <hyperlink ref="S183" r:id="rId240" xr:uid="{00000000-0004-0000-0200-0000EF000000}"/>
    <hyperlink ref="F184" r:id="rId241" xr:uid="{00000000-0004-0000-0200-0000F0000000}"/>
    <hyperlink ref="G184" r:id="rId242" xr:uid="{00000000-0004-0000-0200-0000F1000000}"/>
    <hyperlink ref="S184" r:id="rId243" xr:uid="{00000000-0004-0000-0200-0000F2000000}"/>
    <hyperlink ref="G185" r:id="rId244" xr:uid="{00000000-0004-0000-0200-0000F3000000}"/>
    <hyperlink ref="S186" r:id="rId245" xr:uid="{00000000-0004-0000-0200-0000F4000000}"/>
    <hyperlink ref="S187" r:id="rId246" xr:uid="{00000000-0004-0000-0200-0000F5000000}"/>
    <hyperlink ref="S188" r:id="rId247" xr:uid="{00000000-0004-0000-0200-0000F6000000}"/>
    <hyperlink ref="S189" r:id="rId248" xr:uid="{00000000-0004-0000-0200-0000F7000000}"/>
    <hyperlink ref="S190" r:id="rId249" xr:uid="{00000000-0004-0000-0200-0000F8000000}"/>
    <hyperlink ref="G191" r:id="rId250" xr:uid="{00000000-0004-0000-0200-0000F9000000}"/>
    <hyperlink ref="S191" r:id="rId251" xr:uid="{00000000-0004-0000-0200-0000FA000000}"/>
    <hyperlink ref="G192" r:id="rId252" xr:uid="{00000000-0004-0000-0200-0000FB000000}"/>
    <hyperlink ref="S192" r:id="rId253" xr:uid="{00000000-0004-0000-0200-0000FC000000}"/>
    <hyperlink ref="S193" r:id="rId254" xr:uid="{00000000-0004-0000-0200-0000FD000000}"/>
    <hyperlink ref="S194" r:id="rId255" xr:uid="{00000000-0004-0000-0200-0000FE000000}"/>
    <hyperlink ref="S195" r:id="rId256" xr:uid="{00000000-0004-0000-0200-0000FF000000}"/>
    <hyperlink ref="F196" r:id="rId257" xr:uid="{00000000-0004-0000-0200-000000010000}"/>
    <hyperlink ref="G196" r:id="rId258" xr:uid="{00000000-0004-0000-0200-000001010000}"/>
    <hyperlink ref="G197" r:id="rId259" xr:uid="{00000000-0004-0000-0200-000002010000}"/>
    <hyperlink ref="S197" r:id="rId260" xr:uid="{00000000-0004-0000-0200-000003010000}"/>
    <hyperlink ref="F198" r:id="rId261" xr:uid="{00000000-0004-0000-0200-000004010000}"/>
    <hyperlink ref="G198" r:id="rId262" xr:uid="{00000000-0004-0000-0200-000005010000}"/>
    <hyperlink ref="S199" r:id="rId263" xr:uid="{00000000-0004-0000-0200-000006010000}"/>
    <hyperlink ref="F200" r:id="rId264" xr:uid="{00000000-0004-0000-0200-000007010000}"/>
    <hyperlink ref="G200" r:id="rId265" xr:uid="{00000000-0004-0000-0200-000008010000}"/>
    <hyperlink ref="S201" r:id="rId266" xr:uid="{00000000-0004-0000-0200-000009010000}"/>
    <hyperlink ref="S202" r:id="rId267" xr:uid="{00000000-0004-0000-0200-00000A010000}"/>
    <hyperlink ref="G203" r:id="rId268" xr:uid="{00000000-0004-0000-0200-00000B010000}"/>
    <hyperlink ref="S203" r:id="rId269" xr:uid="{00000000-0004-0000-0200-00000C010000}"/>
    <hyperlink ref="G204" r:id="rId270" xr:uid="{00000000-0004-0000-0200-00000D010000}"/>
    <hyperlink ref="S205" r:id="rId271" xr:uid="{00000000-0004-0000-0200-00000E010000}"/>
    <hyperlink ref="S206" r:id="rId272" xr:uid="{00000000-0004-0000-0200-00000F010000}"/>
    <hyperlink ref="S207" r:id="rId273" xr:uid="{00000000-0004-0000-0200-000010010000}"/>
    <hyperlink ref="G208" r:id="rId274" xr:uid="{00000000-0004-0000-0200-000011010000}"/>
    <hyperlink ref="S208" r:id="rId275" xr:uid="{00000000-0004-0000-0200-000012010000}"/>
    <hyperlink ref="G209" r:id="rId276" xr:uid="{00000000-0004-0000-0200-000013010000}"/>
    <hyperlink ref="S209" r:id="rId277" xr:uid="{00000000-0004-0000-0200-000014010000}"/>
    <hyperlink ref="G210" r:id="rId278" xr:uid="{00000000-0004-0000-0200-000015010000}"/>
    <hyperlink ref="S210" r:id="rId279" xr:uid="{00000000-0004-0000-0200-000016010000}"/>
    <hyperlink ref="G211" r:id="rId280" xr:uid="{00000000-0004-0000-0200-000017010000}"/>
    <hyperlink ref="S211" r:id="rId281" xr:uid="{00000000-0004-0000-0200-000018010000}"/>
    <hyperlink ref="G212" r:id="rId282" xr:uid="{00000000-0004-0000-0200-000019010000}"/>
    <hyperlink ref="S212" r:id="rId283" xr:uid="{00000000-0004-0000-0200-00001A010000}"/>
    <hyperlink ref="G213" r:id="rId284" xr:uid="{00000000-0004-0000-0200-00001B010000}"/>
    <hyperlink ref="S213" r:id="rId285" xr:uid="{00000000-0004-0000-0200-00001C010000}"/>
    <hyperlink ref="S214" r:id="rId286" xr:uid="{00000000-0004-0000-0200-00001D010000}"/>
    <hyperlink ref="G215" r:id="rId287" xr:uid="{00000000-0004-0000-0200-00001E010000}"/>
    <hyperlink ref="S215" r:id="rId288" xr:uid="{00000000-0004-0000-0200-00001F010000}"/>
    <hyperlink ref="S216" r:id="rId289" xr:uid="{00000000-0004-0000-0200-000020010000}"/>
    <hyperlink ref="G217" r:id="rId290" xr:uid="{00000000-0004-0000-0200-000021010000}"/>
    <hyperlink ref="S217" r:id="rId291" xr:uid="{00000000-0004-0000-0200-000022010000}"/>
    <hyperlink ref="G218" r:id="rId292" xr:uid="{00000000-0004-0000-0200-000023010000}"/>
    <hyperlink ref="G219" r:id="rId293" xr:uid="{00000000-0004-0000-0200-000024010000}"/>
    <hyperlink ref="G220" r:id="rId294" xr:uid="{00000000-0004-0000-0200-000025010000}"/>
    <hyperlink ref="S220" r:id="rId295" xr:uid="{00000000-0004-0000-0200-000026010000}"/>
    <hyperlink ref="G221" r:id="rId296" xr:uid="{00000000-0004-0000-0200-000027010000}"/>
    <hyperlink ref="S222" r:id="rId297" xr:uid="{00000000-0004-0000-0200-000028010000}"/>
    <hyperlink ref="G223" r:id="rId298" xr:uid="{00000000-0004-0000-0200-000029010000}"/>
    <hyperlink ref="G224" r:id="rId299" xr:uid="{00000000-0004-0000-0200-00002A010000}"/>
    <hyperlink ref="S224" r:id="rId300" xr:uid="{00000000-0004-0000-0200-00002B010000}"/>
    <hyperlink ref="G227" r:id="rId301" xr:uid="{00000000-0004-0000-0200-00002C010000}"/>
    <hyperlink ref="S227" r:id="rId302" xr:uid="{00000000-0004-0000-0200-00002D010000}"/>
    <hyperlink ref="F228" r:id="rId303" xr:uid="{00000000-0004-0000-0200-00002E010000}"/>
    <hyperlink ref="G228" r:id="rId304" xr:uid="{00000000-0004-0000-0200-00002F010000}"/>
    <hyperlink ref="G229" r:id="rId305" xr:uid="{00000000-0004-0000-0200-000030010000}"/>
    <hyperlink ref="S229" r:id="rId306" xr:uid="{00000000-0004-0000-0200-000031010000}"/>
    <hyperlink ref="G230" r:id="rId307" xr:uid="{00000000-0004-0000-0200-000032010000}"/>
    <hyperlink ref="S230" r:id="rId308" xr:uid="{00000000-0004-0000-0200-000033010000}"/>
    <hyperlink ref="G231" r:id="rId309" xr:uid="{00000000-0004-0000-0200-000034010000}"/>
    <hyperlink ref="S231" r:id="rId310" xr:uid="{00000000-0004-0000-0200-000035010000}"/>
    <hyperlink ref="G233" r:id="rId311" xr:uid="{00000000-0004-0000-0200-000036010000}"/>
    <hyperlink ref="G234" r:id="rId312" xr:uid="{00000000-0004-0000-0200-000037010000}"/>
    <hyperlink ref="S234" r:id="rId313" xr:uid="{00000000-0004-0000-0200-000038010000}"/>
    <hyperlink ref="S235" r:id="rId314" xr:uid="{00000000-0004-0000-0200-000039010000}"/>
    <hyperlink ref="S236" r:id="rId315" xr:uid="{00000000-0004-0000-0200-00003A010000}"/>
    <hyperlink ref="S237" r:id="rId316" xr:uid="{00000000-0004-0000-0200-00003B010000}"/>
    <hyperlink ref="S238" r:id="rId317" xr:uid="{00000000-0004-0000-0200-00003C010000}"/>
    <hyperlink ref="G239" r:id="rId318" xr:uid="{00000000-0004-0000-0200-00003D010000}"/>
    <hyperlink ref="G240" r:id="rId319" xr:uid="{00000000-0004-0000-0200-00003E010000}"/>
    <hyperlink ref="S241" r:id="rId320" xr:uid="{00000000-0004-0000-0200-00003F010000}"/>
    <hyperlink ref="S242" r:id="rId321" xr:uid="{00000000-0004-0000-0200-000040010000}"/>
    <hyperlink ref="S243" r:id="rId322" xr:uid="{00000000-0004-0000-0200-000041010000}"/>
    <hyperlink ref="G244" r:id="rId323" xr:uid="{00000000-0004-0000-0200-000042010000}"/>
    <hyperlink ref="S244" r:id="rId324" xr:uid="{00000000-0004-0000-0200-000043010000}"/>
    <hyperlink ref="G245" r:id="rId325" xr:uid="{00000000-0004-0000-0200-000044010000}"/>
    <hyperlink ref="G246" r:id="rId326" xr:uid="{00000000-0004-0000-0200-000045010000}"/>
    <hyperlink ref="S246" r:id="rId327" xr:uid="{00000000-0004-0000-0200-000046010000}"/>
    <hyperlink ref="S247" r:id="rId328" xr:uid="{00000000-0004-0000-0200-000047010000}"/>
    <hyperlink ref="S248" r:id="rId329" xr:uid="{00000000-0004-0000-0200-000048010000}"/>
    <hyperlink ref="S249" r:id="rId330" xr:uid="{00000000-0004-0000-0200-000049010000}"/>
    <hyperlink ref="S250" r:id="rId331" xr:uid="{00000000-0004-0000-0200-00004A010000}"/>
    <hyperlink ref="G251" r:id="rId332" xr:uid="{00000000-0004-0000-0200-00004B010000}"/>
    <hyperlink ref="S251" r:id="rId333" xr:uid="{00000000-0004-0000-0200-00004C010000}"/>
    <hyperlink ref="G253" r:id="rId334" xr:uid="{00000000-0004-0000-0200-00004D010000}"/>
    <hyperlink ref="S253" r:id="rId335" xr:uid="{00000000-0004-0000-0200-00004E010000}"/>
    <hyperlink ref="G254" r:id="rId336" xr:uid="{00000000-0004-0000-0200-00004F010000}"/>
    <hyperlink ref="S254" r:id="rId337" xr:uid="{00000000-0004-0000-0200-000050010000}"/>
    <hyperlink ref="S255" r:id="rId338" xr:uid="{00000000-0004-0000-0200-000051010000}"/>
    <hyperlink ref="S256" r:id="rId339" xr:uid="{00000000-0004-0000-0200-000052010000}"/>
    <hyperlink ref="G257" r:id="rId340" xr:uid="{00000000-0004-0000-0200-000053010000}"/>
    <hyperlink ref="S257" r:id="rId341" xr:uid="{00000000-0004-0000-0200-000054010000}"/>
    <hyperlink ref="S258" r:id="rId342" xr:uid="{00000000-0004-0000-0200-000055010000}"/>
    <hyperlink ref="G259" r:id="rId343" xr:uid="{00000000-0004-0000-0200-000056010000}"/>
    <hyperlink ref="S259" r:id="rId344" xr:uid="{00000000-0004-0000-0200-000057010000}"/>
    <hyperlink ref="F260" r:id="rId345" xr:uid="{00000000-0004-0000-0200-000058010000}"/>
    <hyperlink ref="G260" r:id="rId346" xr:uid="{00000000-0004-0000-0200-000059010000}"/>
    <hyperlink ref="S260" r:id="rId347" xr:uid="{00000000-0004-0000-0200-00005A010000}"/>
    <hyperlink ref="S261" r:id="rId348" xr:uid="{00000000-0004-0000-0200-00005B010000}"/>
    <hyperlink ref="S262" r:id="rId349" xr:uid="{00000000-0004-0000-0200-00005C010000}"/>
    <hyperlink ref="S263" r:id="rId350" xr:uid="{00000000-0004-0000-0200-00005D010000}"/>
    <hyperlink ref="F264" r:id="rId351" xr:uid="{00000000-0004-0000-0200-00005E010000}"/>
    <hyperlink ref="G264" r:id="rId352" xr:uid="{00000000-0004-0000-0200-00005F010000}"/>
    <hyperlink ref="S264" r:id="rId353" xr:uid="{00000000-0004-0000-0200-000060010000}"/>
    <hyperlink ref="G265" r:id="rId354" xr:uid="{00000000-0004-0000-0200-000061010000}"/>
    <hyperlink ref="S265" r:id="rId355" xr:uid="{00000000-0004-0000-0200-000062010000}"/>
    <hyperlink ref="F266" r:id="rId356" xr:uid="{00000000-0004-0000-0200-000063010000}"/>
    <hyperlink ref="G266" r:id="rId357" xr:uid="{00000000-0004-0000-0200-000064010000}"/>
    <hyperlink ref="S266" r:id="rId358" xr:uid="{00000000-0004-0000-0200-000065010000}"/>
    <hyperlink ref="G267" r:id="rId359" xr:uid="{00000000-0004-0000-0200-000066010000}"/>
    <hyperlink ref="G268" r:id="rId360" xr:uid="{00000000-0004-0000-0200-000067010000}"/>
    <hyperlink ref="S268" r:id="rId361" xr:uid="{00000000-0004-0000-0200-000068010000}"/>
    <hyperlink ref="S269" r:id="rId362" xr:uid="{00000000-0004-0000-0200-000069010000}"/>
    <hyperlink ref="S270" r:id="rId363" xr:uid="{00000000-0004-0000-0200-00006A010000}"/>
    <hyperlink ref="G271" r:id="rId364" xr:uid="{00000000-0004-0000-0200-00006B010000}"/>
    <hyperlink ref="S272" r:id="rId365" xr:uid="{00000000-0004-0000-0200-00006C010000}"/>
    <hyperlink ref="G274" r:id="rId366" xr:uid="{00000000-0004-0000-0200-00006D010000}"/>
    <hyperlink ref="S274" r:id="rId367" xr:uid="{00000000-0004-0000-0200-00006E010000}"/>
    <hyperlink ref="S275" r:id="rId368" xr:uid="{00000000-0004-0000-0200-00006F010000}"/>
    <hyperlink ref="G276" r:id="rId369" xr:uid="{00000000-0004-0000-0200-000070010000}"/>
    <hyperlink ref="S276" r:id="rId370" xr:uid="{00000000-0004-0000-0200-000071010000}"/>
    <hyperlink ref="G277" r:id="rId371" xr:uid="{00000000-0004-0000-0200-000072010000}"/>
    <hyperlink ref="S277" r:id="rId372" xr:uid="{00000000-0004-0000-0200-000073010000}"/>
    <hyperlink ref="S278" r:id="rId373" xr:uid="{00000000-0004-0000-0200-000074010000}"/>
    <hyperlink ref="G279" r:id="rId374" xr:uid="{00000000-0004-0000-0200-000075010000}"/>
    <hyperlink ref="S279" r:id="rId375" xr:uid="{00000000-0004-0000-0200-000076010000}"/>
    <hyperlink ref="G280" r:id="rId376" xr:uid="{00000000-0004-0000-0200-000077010000}"/>
    <hyperlink ref="S281" r:id="rId377" xr:uid="{00000000-0004-0000-0200-000078010000}"/>
    <hyperlink ref="S282" r:id="rId378" xr:uid="{00000000-0004-0000-0200-000079010000}"/>
    <hyperlink ref="G283" r:id="rId379" xr:uid="{00000000-0004-0000-0200-00007A010000}"/>
    <hyperlink ref="S283" r:id="rId380" xr:uid="{00000000-0004-0000-0200-00007B010000}"/>
    <hyperlink ref="G284" r:id="rId381" xr:uid="{00000000-0004-0000-0200-00007C010000}"/>
    <hyperlink ref="S284" r:id="rId382" xr:uid="{00000000-0004-0000-0200-00007D010000}"/>
    <hyperlink ref="G285" r:id="rId383" xr:uid="{00000000-0004-0000-0200-00007E010000}"/>
    <hyperlink ref="F286" r:id="rId384" xr:uid="{00000000-0004-0000-0200-00007F010000}"/>
    <hyperlink ref="S286" r:id="rId385" xr:uid="{00000000-0004-0000-0200-000080010000}"/>
    <hyperlink ref="G287" r:id="rId386" xr:uid="{00000000-0004-0000-0200-000081010000}"/>
    <hyperlink ref="S287" r:id="rId387" xr:uid="{00000000-0004-0000-0200-000082010000}"/>
    <hyperlink ref="G288" r:id="rId388" xr:uid="{00000000-0004-0000-0200-000083010000}"/>
    <hyperlink ref="S288" r:id="rId389" xr:uid="{00000000-0004-0000-0200-000084010000}"/>
    <hyperlink ref="G289" r:id="rId390" xr:uid="{00000000-0004-0000-0200-000085010000}"/>
    <hyperlink ref="S289" r:id="rId391" xr:uid="{00000000-0004-0000-0200-000086010000}"/>
    <hyperlink ref="F290" r:id="rId392" xr:uid="{00000000-0004-0000-0200-000087010000}"/>
    <hyperlink ref="S290" r:id="rId393" xr:uid="{00000000-0004-0000-0200-000088010000}"/>
    <hyperlink ref="S291" r:id="rId394" xr:uid="{00000000-0004-0000-0200-000089010000}"/>
    <hyperlink ref="S293" r:id="rId395" xr:uid="{00000000-0004-0000-0200-00008A010000}"/>
    <hyperlink ref="S294" r:id="rId396" xr:uid="{00000000-0004-0000-0200-00008B010000}"/>
    <hyperlink ref="S295" r:id="rId397" xr:uid="{00000000-0004-0000-0200-00008C010000}"/>
    <hyperlink ref="G297" r:id="rId398" xr:uid="{00000000-0004-0000-0200-00008D010000}"/>
    <hyperlink ref="S297" r:id="rId399" xr:uid="{00000000-0004-0000-0200-00008E010000}"/>
    <hyperlink ref="F298" r:id="rId400" xr:uid="{00000000-0004-0000-0200-00008F010000}"/>
    <hyperlink ref="S298" r:id="rId401" xr:uid="{00000000-0004-0000-0200-000090010000}"/>
    <hyperlink ref="G299" r:id="rId402" xr:uid="{00000000-0004-0000-0200-000091010000}"/>
    <hyperlink ref="S299" r:id="rId403" xr:uid="{00000000-0004-0000-0200-000092010000}"/>
    <hyperlink ref="S300" r:id="rId404" xr:uid="{00000000-0004-0000-0200-000093010000}"/>
    <hyperlink ref="G301" r:id="rId405" xr:uid="{00000000-0004-0000-0200-000094010000}"/>
    <hyperlink ref="S301" r:id="rId406" xr:uid="{00000000-0004-0000-0200-000095010000}"/>
    <hyperlink ref="G303" r:id="rId407" xr:uid="{00000000-0004-0000-0200-000096010000}"/>
    <hyperlink ref="F304" r:id="rId408" xr:uid="{00000000-0004-0000-0200-000097010000}"/>
    <hyperlink ref="S305" r:id="rId409" xr:uid="{00000000-0004-0000-0200-000098010000}"/>
    <hyperlink ref="S307" r:id="rId410" xr:uid="{00000000-0004-0000-0200-000099010000}"/>
    <hyperlink ref="G308" r:id="rId411" xr:uid="{00000000-0004-0000-0200-00009A010000}"/>
    <hyperlink ref="G309" r:id="rId412" xr:uid="{00000000-0004-0000-0200-00009B010000}"/>
    <hyperlink ref="S309" r:id="rId413" xr:uid="{00000000-0004-0000-0200-00009C010000}"/>
    <hyperlink ref="S310" r:id="rId414" xr:uid="{00000000-0004-0000-0200-00009D010000}"/>
    <hyperlink ref="G311" r:id="rId415" xr:uid="{00000000-0004-0000-0200-00009E010000}"/>
    <hyperlink ref="S311" r:id="rId416" xr:uid="{00000000-0004-0000-0200-00009F010000}"/>
    <hyperlink ref="S312" r:id="rId417" xr:uid="{00000000-0004-0000-0200-0000A0010000}"/>
    <hyperlink ref="S313" r:id="rId418" xr:uid="{00000000-0004-0000-0200-0000A1010000}"/>
    <hyperlink ref="S314" r:id="rId419" xr:uid="{00000000-0004-0000-0200-0000A2010000}"/>
    <hyperlink ref="G315" r:id="rId420" xr:uid="{00000000-0004-0000-0200-0000A3010000}"/>
    <hyperlink ref="S315" r:id="rId421" xr:uid="{00000000-0004-0000-0200-0000A4010000}"/>
    <hyperlink ref="S316" r:id="rId422" xr:uid="{00000000-0004-0000-0200-0000A5010000}"/>
    <hyperlink ref="S317" r:id="rId423" xr:uid="{00000000-0004-0000-0200-0000A6010000}"/>
    <hyperlink ref="G318" r:id="rId424" xr:uid="{00000000-0004-0000-0200-0000A7010000}"/>
    <hyperlink ref="S318" r:id="rId425" xr:uid="{00000000-0004-0000-0200-0000A8010000}"/>
    <hyperlink ref="S320" r:id="rId426" xr:uid="{00000000-0004-0000-0200-0000A9010000}"/>
    <hyperlink ref="S322" r:id="rId427" xr:uid="{00000000-0004-0000-0200-0000AA010000}"/>
    <hyperlink ref="G323" r:id="rId428" xr:uid="{00000000-0004-0000-0200-0000AB010000}"/>
    <hyperlink ref="G324" r:id="rId429" xr:uid="{00000000-0004-0000-0200-0000AC010000}"/>
    <hyperlink ref="S325" r:id="rId430" xr:uid="{00000000-0004-0000-0200-0000AD010000}"/>
    <hyperlink ref="F327" r:id="rId431" xr:uid="{00000000-0004-0000-0200-0000AE010000}"/>
    <hyperlink ref="G327" r:id="rId432" xr:uid="{00000000-0004-0000-0200-0000AF010000}"/>
    <hyperlink ref="S327" r:id="rId433" xr:uid="{00000000-0004-0000-0200-0000B0010000}"/>
    <hyperlink ref="S328" r:id="rId434" xr:uid="{00000000-0004-0000-0200-0000B1010000}"/>
    <hyperlink ref="G329" r:id="rId435" xr:uid="{00000000-0004-0000-0200-0000B2010000}"/>
    <hyperlink ref="S329" r:id="rId436" xr:uid="{00000000-0004-0000-0200-0000B3010000}"/>
    <hyperlink ref="G330" r:id="rId437" xr:uid="{00000000-0004-0000-0200-0000B4010000}"/>
    <hyperlink ref="S330" r:id="rId438" xr:uid="{00000000-0004-0000-0200-0000B5010000}"/>
    <hyperlink ref="F331" r:id="rId439" xr:uid="{00000000-0004-0000-0200-0000B6010000}"/>
    <hyperlink ref="G331" r:id="rId440" xr:uid="{00000000-0004-0000-0200-0000B7010000}"/>
    <hyperlink ref="S331" r:id="rId441" xr:uid="{00000000-0004-0000-0200-0000B8010000}"/>
    <hyperlink ref="S332" r:id="rId442" xr:uid="{00000000-0004-0000-0200-0000B9010000}"/>
    <hyperlink ref="G333" r:id="rId443" xr:uid="{00000000-0004-0000-0200-0000BA010000}"/>
    <hyperlink ref="S333" r:id="rId444" xr:uid="{00000000-0004-0000-0200-0000BB010000}"/>
    <hyperlink ref="S334" r:id="rId445" xr:uid="{00000000-0004-0000-0200-0000BC010000}"/>
    <hyperlink ref="G335" r:id="rId446" xr:uid="{00000000-0004-0000-0200-0000BD010000}"/>
    <hyperlink ref="S335" r:id="rId447" xr:uid="{00000000-0004-0000-0200-0000BE010000}"/>
    <hyperlink ref="S337" r:id="rId448" xr:uid="{00000000-0004-0000-0200-0000BF010000}"/>
    <hyperlink ref="G338" r:id="rId449" xr:uid="{00000000-0004-0000-0200-0000C0010000}"/>
    <hyperlink ref="S339" r:id="rId450" xr:uid="{00000000-0004-0000-0200-0000C1010000}"/>
    <hyperlink ref="G340" r:id="rId451" xr:uid="{00000000-0004-0000-0200-0000C2010000}"/>
    <hyperlink ref="G341" r:id="rId452" xr:uid="{00000000-0004-0000-0200-0000C3010000}"/>
    <hyperlink ref="S341" r:id="rId453" xr:uid="{00000000-0004-0000-0200-0000C4010000}"/>
    <hyperlink ref="G342" r:id="rId454" xr:uid="{00000000-0004-0000-0200-0000C5010000}"/>
    <hyperlink ref="S342" r:id="rId455" xr:uid="{00000000-0004-0000-0200-0000C6010000}"/>
    <hyperlink ref="G343" r:id="rId456" xr:uid="{00000000-0004-0000-0200-0000C7010000}"/>
    <hyperlink ref="S343" r:id="rId457" xr:uid="{00000000-0004-0000-0200-0000C8010000}"/>
    <hyperlink ref="S344" r:id="rId458" xr:uid="{00000000-0004-0000-0200-0000C9010000}"/>
    <hyperlink ref="G345" r:id="rId459" xr:uid="{00000000-0004-0000-0200-0000CA010000}"/>
    <hyperlink ref="S345" r:id="rId460" xr:uid="{00000000-0004-0000-0200-0000CB010000}"/>
    <hyperlink ref="S346" r:id="rId461" xr:uid="{00000000-0004-0000-0200-0000CC010000}"/>
    <hyperlink ref="S347" r:id="rId462" xr:uid="{00000000-0004-0000-0200-0000CD010000}"/>
    <hyperlink ref="F348" r:id="rId463" xr:uid="{00000000-0004-0000-0200-0000CE010000}"/>
    <hyperlink ref="S348" r:id="rId464" xr:uid="{00000000-0004-0000-0200-0000CF010000}"/>
    <hyperlink ref="S349" r:id="rId465" xr:uid="{00000000-0004-0000-0200-0000D0010000}"/>
    <hyperlink ref="G350" r:id="rId466" xr:uid="{00000000-0004-0000-0200-0000D1010000}"/>
    <hyperlink ref="G351" r:id="rId467" xr:uid="{00000000-0004-0000-0200-0000D2010000}"/>
    <hyperlink ref="S351" r:id="rId468" xr:uid="{00000000-0004-0000-0200-0000D3010000}"/>
    <hyperlink ref="G352" r:id="rId469" xr:uid="{00000000-0004-0000-0200-0000D4010000}"/>
    <hyperlink ref="S353" r:id="rId470" xr:uid="{00000000-0004-0000-0200-0000D5010000}"/>
    <hyperlink ref="F354" r:id="rId471" xr:uid="{00000000-0004-0000-0200-0000D6010000}"/>
    <hyperlink ref="S354" r:id="rId472" xr:uid="{00000000-0004-0000-0200-0000D7010000}"/>
    <hyperlink ref="S355" r:id="rId473" xr:uid="{00000000-0004-0000-0200-0000D8010000}"/>
    <hyperlink ref="S356" r:id="rId474" xr:uid="{00000000-0004-0000-0200-0000D9010000}"/>
    <hyperlink ref="S357" r:id="rId475" xr:uid="{00000000-0004-0000-0200-0000DA010000}"/>
    <hyperlink ref="G358" r:id="rId476" xr:uid="{00000000-0004-0000-0200-0000DB010000}"/>
    <hyperlink ref="S358" r:id="rId477" xr:uid="{00000000-0004-0000-0200-0000DC010000}"/>
    <hyperlink ref="S359" r:id="rId478" xr:uid="{00000000-0004-0000-0200-0000DD010000}"/>
    <hyperlink ref="F360" r:id="rId479" xr:uid="{00000000-0004-0000-0200-0000DE010000}"/>
    <hyperlink ref="S360" r:id="rId480" xr:uid="{00000000-0004-0000-0200-0000DF010000}"/>
    <hyperlink ref="S361" r:id="rId481" xr:uid="{00000000-0004-0000-0200-0000E0010000}"/>
    <hyperlink ref="G362" r:id="rId482" xr:uid="{00000000-0004-0000-0200-0000E1010000}"/>
    <hyperlink ref="S362" r:id="rId483" xr:uid="{00000000-0004-0000-0200-0000E2010000}"/>
    <hyperlink ref="S363" r:id="rId484" xr:uid="{00000000-0004-0000-0200-0000E3010000}"/>
    <hyperlink ref="G364" r:id="rId485" xr:uid="{00000000-0004-0000-0200-0000E4010000}"/>
    <hyperlink ref="S364" r:id="rId486" xr:uid="{00000000-0004-0000-0200-0000E5010000}"/>
    <hyperlink ref="G365" r:id="rId487" xr:uid="{00000000-0004-0000-0200-0000E6010000}"/>
    <hyperlink ref="S365" r:id="rId488" xr:uid="{00000000-0004-0000-0200-0000E7010000}"/>
    <hyperlink ref="G366" r:id="rId489" xr:uid="{00000000-0004-0000-0200-0000E8010000}"/>
    <hyperlink ref="G367" r:id="rId490" xr:uid="{00000000-0004-0000-0200-0000E9010000}"/>
    <hyperlink ref="S367" r:id="rId491" xr:uid="{00000000-0004-0000-0200-0000EA010000}"/>
    <hyperlink ref="S368" r:id="rId492" xr:uid="{00000000-0004-0000-0200-0000EB010000}"/>
    <hyperlink ref="S369" r:id="rId493" xr:uid="{00000000-0004-0000-0200-0000EC010000}"/>
    <hyperlink ref="S370" r:id="rId494" xr:uid="{00000000-0004-0000-0200-0000ED010000}"/>
    <hyperlink ref="G371" r:id="rId495" xr:uid="{00000000-0004-0000-0200-0000EE010000}"/>
    <hyperlink ref="S372" r:id="rId496" xr:uid="{00000000-0004-0000-0200-0000EF010000}"/>
    <hyperlink ref="S373" r:id="rId497" xr:uid="{00000000-0004-0000-0200-0000F0010000}"/>
    <hyperlink ref="S374" r:id="rId498" xr:uid="{00000000-0004-0000-0200-0000F1010000}"/>
    <hyperlink ref="S375" r:id="rId499" xr:uid="{00000000-0004-0000-0200-0000F2010000}"/>
    <hyperlink ref="S376" r:id="rId500" xr:uid="{00000000-0004-0000-0200-0000F3010000}"/>
    <hyperlink ref="S377" r:id="rId501" xr:uid="{00000000-0004-0000-0200-0000F4010000}"/>
    <hyperlink ref="S378" r:id="rId502" xr:uid="{00000000-0004-0000-0200-0000F5010000}"/>
    <hyperlink ref="S379" r:id="rId503" xr:uid="{00000000-0004-0000-0200-0000F6010000}"/>
    <hyperlink ref="S380" r:id="rId504" xr:uid="{00000000-0004-0000-0200-0000F7010000}"/>
    <hyperlink ref="G381" r:id="rId505" xr:uid="{00000000-0004-0000-0200-0000F8010000}"/>
    <hyperlink ref="S381" r:id="rId506" xr:uid="{00000000-0004-0000-0200-0000F9010000}"/>
    <hyperlink ref="G382" r:id="rId507" xr:uid="{00000000-0004-0000-0200-0000FA010000}"/>
    <hyperlink ref="S382" r:id="rId508" xr:uid="{00000000-0004-0000-0200-0000FB010000}"/>
    <hyperlink ref="S383" r:id="rId509" xr:uid="{00000000-0004-0000-0200-0000FC010000}"/>
    <hyperlink ref="S384" r:id="rId510" xr:uid="{00000000-0004-0000-0200-0000FD010000}"/>
    <hyperlink ref="S386" r:id="rId511" xr:uid="{00000000-0004-0000-0200-0000FE010000}"/>
    <hyperlink ref="G387" r:id="rId512" xr:uid="{00000000-0004-0000-0200-0000FF010000}"/>
    <hyperlink ref="S387" r:id="rId513" xr:uid="{00000000-0004-0000-0200-000000020000}"/>
    <hyperlink ref="G389" r:id="rId514" xr:uid="{00000000-0004-0000-0200-000001020000}"/>
    <hyperlink ref="S389" r:id="rId515" xr:uid="{00000000-0004-0000-0200-000002020000}"/>
    <hyperlink ref="S390" r:id="rId516" xr:uid="{00000000-0004-0000-0200-000003020000}"/>
    <hyperlink ref="S391" r:id="rId517" xr:uid="{00000000-0004-0000-0200-000004020000}"/>
    <hyperlink ref="G392" r:id="rId518" xr:uid="{00000000-0004-0000-0200-000005020000}"/>
    <hyperlink ref="S392" r:id="rId519" xr:uid="{00000000-0004-0000-0200-000006020000}"/>
    <hyperlink ref="S393" r:id="rId520" xr:uid="{00000000-0004-0000-0200-000007020000}"/>
    <hyperlink ref="S394" r:id="rId521" xr:uid="{00000000-0004-0000-0200-000008020000}"/>
    <hyperlink ref="S395" r:id="rId522" xr:uid="{00000000-0004-0000-0200-000009020000}"/>
    <hyperlink ref="G396" r:id="rId523" xr:uid="{00000000-0004-0000-0200-00000A020000}"/>
    <hyperlink ref="S396" r:id="rId524" xr:uid="{00000000-0004-0000-0200-00000B020000}"/>
    <hyperlink ref="S397" r:id="rId525" xr:uid="{00000000-0004-0000-0200-00000C020000}"/>
    <hyperlink ref="S398" r:id="rId526" xr:uid="{00000000-0004-0000-0200-00000D020000}"/>
    <hyperlink ref="S399" r:id="rId527" xr:uid="{00000000-0004-0000-0200-00000E020000}"/>
    <hyperlink ref="F400" r:id="rId528" xr:uid="{00000000-0004-0000-0200-00000F020000}"/>
    <hyperlink ref="G401" r:id="rId529" xr:uid="{00000000-0004-0000-0200-000010020000}"/>
    <hyperlink ref="S401" r:id="rId530" xr:uid="{00000000-0004-0000-0200-000011020000}"/>
    <hyperlink ref="S402" r:id="rId531" xr:uid="{00000000-0004-0000-0200-000012020000}"/>
    <hyperlink ref="S404" r:id="rId532" xr:uid="{00000000-0004-0000-0200-000013020000}"/>
    <hyperlink ref="F405" r:id="rId533" xr:uid="{00000000-0004-0000-0200-000014020000}"/>
    <hyperlink ref="G405" r:id="rId534" xr:uid="{00000000-0004-0000-0200-000015020000}"/>
    <hyperlink ref="G406" r:id="rId535" xr:uid="{00000000-0004-0000-0200-000016020000}"/>
    <hyperlink ref="S406" r:id="rId536" xr:uid="{00000000-0004-0000-0200-000017020000}"/>
    <hyperlink ref="S407" r:id="rId537" xr:uid="{00000000-0004-0000-0200-000018020000}"/>
    <hyperlink ref="G408" r:id="rId538" xr:uid="{00000000-0004-0000-0200-000019020000}"/>
    <hyperlink ref="S408" r:id="rId539" xr:uid="{00000000-0004-0000-0200-00001A020000}"/>
    <hyperlink ref="G409" r:id="rId540" xr:uid="{00000000-0004-0000-0200-00001B020000}"/>
    <hyperlink ref="S409" r:id="rId541" xr:uid="{00000000-0004-0000-0200-00001C020000}"/>
    <hyperlink ref="S410" r:id="rId542" xr:uid="{00000000-0004-0000-0200-00001D020000}"/>
    <hyperlink ref="G411" r:id="rId543" xr:uid="{00000000-0004-0000-0200-00001E020000}"/>
    <hyperlink ref="G414" r:id="rId544" xr:uid="{00000000-0004-0000-0200-00001F020000}"/>
    <hyperlink ref="S414" r:id="rId545" xr:uid="{00000000-0004-0000-0200-000020020000}"/>
    <hyperlink ref="G415" r:id="rId546" xr:uid="{00000000-0004-0000-0200-000021020000}"/>
    <hyperlink ref="S415" r:id="rId547" xr:uid="{00000000-0004-0000-0200-000022020000}"/>
    <hyperlink ref="G416" r:id="rId548" xr:uid="{00000000-0004-0000-0200-000023020000}"/>
    <hyperlink ref="S416" r:id="rId549" xr:uid="{00000000-0004-0000-0200-000024020000}"/>
    <hyperlink ref="G417" r:id="rId550" xr:uid="{00000000-0004-0000-0200-000025020000}"/>
    <hyperlink ref="S417" r:id="rId551" xr:uid="{00000000-0004-0000-0200-000026020000}"/>
    <hyperlink ref="G418" r:id="rId552" xr:uid="{00000000-0004-0000-0200-000027020000}"/>
    <hyperlink ref="S418" r:id="rId553" xr:uid="{00000000-0004-0000-0200-000028020000}"/>
    <hyperlink ref="G419" r:id="rId554" xr:uid="{00000000-0004-0000-0200-000029020000}"/>
    <hyperlink ref="G420" r:id="rId555" xr:uid="{00000000-0004-0000-0200-00002A020000}"/>
    <hyperlink ref="S420" r:id="rId556" xr:uid="{00000000-0004-0000-0200-00002B020000}"/>
    <hyperlink ref="G421" r:id="rId557" xr:uid="{00000000-0004-0000-0200-00002C020000}"/>
    <hyperlink ref="G422" r:id="rId558" xr:uid="{00000000-0004-0000-0200-00002D020000}"/>
    <hyperlink ref="S422" r:id="rId559" xr:uid="{00000000-0004-0000-0200-00002E020000}"/>
    <hyperlink ref="S423" r:id="rId560" xr:uid="{00000000-0004-0000-0200-00002F020000}"/>
    <hyperlink ref="G425" r:id="rId561" xr:uid="{00000000-0004-0000-0200-000030020000}"/>
    <hyperlink ref="G426" r:id="rId562" xr:uid="{00000000-0004-0000-0200-000031020000}"/>
    <hyperlink ref="S426" r:id="rId563" xr:uid="{00000000-0004-0000-0200-000032020000}"/>
    <hyperlink ref="S427" r:id="rId564" xr:uid="{00000000-0004-0000-0200-000033020000}"/>
    <hyperlink ref="S428" r:id="rId565" xr:uid="{00000000-0004-0000-0200-000034020000}"/>
    <hyperlink ref="S429" r:id="rId566" xr:uid="{00000000-0004-0000-0200-000035020000}"/>
    <hyperlink ref="G430" r:id="rId567" xr:uid="{00000000-0004-0000-0200-000036020000}"/>
    <hyperlink ref="G431" r:id="rId568" xr:uid="{00000000-0004-0000-0200-000037020000}"/>
    <hyperlink ref="S431" r:id="rId569" xr:uid="{00000000-0004-0000-0200-000038020000}"/>
    <hyperlink ref="G433" r:id="rId570" xr:uid="{00000000-0004-0000-0200-000039020000}"/>
    <hyperlink ref="F434" r:id="rId571" xr:uid="{00000000-0004-0000-0200-00003A020000}"/>
    <hyperlink ref="G434" r:id="rId572" xr:uid="{00000000-0004-0000-0200-00003B020000}"/>
    <hyperlink ref="S434" r:id="rId573" xr:uid="{00000000-0004-0000-0200-00003C020000}"/>
    <hyperlink ref="S435" r:id="rId574" xr:uid="{00000000-0004-0000-0200-00003D020000}"/>
    <hyperlink ref="G436" r:id="rId575" xr:uid="{00000000-0004-0000-0200-00003E020000}"/>
    <hyperlink ref="S436" r:id="rId576" xr:uid="{00000000-0004-0000-0200-00003F020000}"/>
    <hyperlink ref="G437" r:id="rId577" xr:uid="{00000000-0004-0000-0200-000040020000}"/>
    <hyperlink ref="G438" r:id="rId578" xr:uid="{00000000-0004-0000-0200-000041020000}"/>
    <hyperlink ref="S438" r:id="rId579" xr:uid="{00000000-0004-0000-0200-000042020000}"/>
    <hyperlink ref="G439" r:id="rId580" xr:uid="{00000000-0004-0000-0200-000043020000}"/>
    <hyperlink ref="S439" r:id="rId581" xr:uid="{00000000-0004-0000-0200-000044020000}"/>
    <hyperlink ref="G440" r:id="rId582" xr:uid="{00000000-0004-0000-0200-000045020000}"/>
    <hyperlink ref="S440" r:id="rId583" xr:uid="{00000000-0004-0000-0200-000046020000}"/>
    <hyperlink ref="G441" r:id="rId584" xr:uid="{00000000-0004-0000-0200-000047020000}"/>
    <hyperlink ref="S441" r:id="rId585" xr:uid="{00000000-0004-0000-0200-000048020000}"/>
    <hyperlink ref="G442" r:id="rId586" xr:uid="{00000000-0004-0000-0200-000049020000}"/>
    <hyperlink ref="G443" r:id="rId587" xr:uid="{00000000-0004-0000-0200-00004A020000}"/>
    <hyperlink ref="S443" r:id="rId588" xr:uid="{00000000-0004-0000-0200-00004B020000}"/>
    <hyperlink ref="S444" r:id="rId589" xr:uid="{00000000-0004-0000-0200-00004C020000}"/>
    <hyperlink ref="F445" r:id="rId590" xr:uid="{00000000-0004-0000-0200-00004D020000}"/>
    <hyperlink ref="G445" r:id="rId591" xr:uid="{00000000-0004-0000-0200-00004E020000}"/>
    <hyperlink ref="S445" r:id="rId592" xr:uid="{00000000-0004-0000-0200-00004F020000}"/>
    <hyperlink ref="G447" r:id="rId593" xr:uid="{00000000-0004-0000-0200-000050020000}"/>
    <hyperlink ref="S447" r:id="rId594" xr:uid="{00000000-0004-0000-0200-000051020000}"/>
    <hyperlink ref="S448" r:id="rId595" xr:uid="{00000000-0004-0000-0200-000052020000}"/>
    <hyperlink ref="S449" r:id="rId596" xr:uid="{00000000-0004-0000-0200-000053020000}"/>
    <hyperlink ref="C450" r:id="rId597" xr:uid="{00000000-0004-0000-0200-000054020000}"/>
    <hyperlink ref="S450" r:id="rId598" xr:uid="{00000000-0004-0000-0200-000055020000}"/>
    <hyperlink ref="G451" r:id="rId599" xr:uid="{00000000-0004-0000-0200-000056020000}"/>
    <hyperlink ref="G452" r:id="rId600" xr:uid="{00000000-0004-0000-0200-000057020000}"/>
    <hyperlink ref="S453" r:id="rId601" xr:uid="{00000000-0004-0000-0200-000058020000}"/>
    <hyperlink ref="S454" r:id="rId602" xr:uid="{00000000-0004-0000-0200-000059020000}"/>
    <hyperlink ref="G455" r:id="rId603" xr:uid="{00000000-0004-0000-0200-00005A020000}"/>
    <hyperlink ref="S455" r:id="rId604" xr:uid="{00000000-0004-0000-0200-00005B020000}"/>
    <hyperlink ref="S457" r:id="rId605" xr:uid="{00000000-0004-0000-0200-00005C020000}"/>
    <hyperlink ref="S458" r:id="rId606" xr:uid="{00000000-0004-0000-0200-00005D020000}"/>
    <hyperlink ref="F460" r:id="rId607" xr:uid="{00000000-0004-0000-0200-00005E020000}"/>
    <hyperlink ref="S462" r:id="rId608" xr:uid="{00000000-0004-0000-0200-00005F020000}"/>
    <hyperlink ref="F464" r:id="rId609" xr:uid="{00000000-0004-0000-0200-000060020000}"/>
    <hyperlink ref="S464" r:id="rId610" xr:uid="{00000000-0004-0000-0200-000061020000}"/>
    <hyperlink ref="S465" r:id="rId611" xr:uid="{00000000-0004-0000-0200-000062020000}"/>
    <hyperlink ref="G466" r:id="rId612" xr:uid="{00000000-0004-0000-0200-000063020000}"/>
    <hyperlink ref="S466" r:id="rId613" xr:uid="{00000000-0004-0000-0200-000064020000}"/>
    <hyperlink ref="S467" r:id="rId614" xr:uid="{00000000-0004-0000-0200-000065020000}"/>
    <hyperlink ref="F468" r:id="rId615" xr:uid="{00000000-0004-0000-0200-000066020000}"/>
    <hyperlink ref="S468" r:id="rId616" xr:uid="{00000000-0004-0000-0200-000067020000}"/>
    <hyperlink ref="F470" r:id="rId617" xr:uid="{00000000-0004-0000-0200-000068020000}"/>
    <hyperlink ref="S470" r:id="rId618" xr:uid="{00000000-0004-0000-0200-000069020000}"/>
    <hyperlink ref="F471" r:id="rId619" xr:uid="{00000000-0004-0000-0200-00006A020000}"/>
    <hyperlink ref="S471" r:id="rId620" xr:uid="{00000000-0004-0000-0200-00006B020000}"/>
    <hyperlink ref="S472" r:id="rId621" xr:uid="{00000000-0004-0000-0200-00006C020000}"/>
    <hyperlink ref="F473" r:id="rId622" xr:uid="{00000000-0004-0000-0200-00006D020000}"/>
    <hyperlink ref="S473" r:id="rId623" xr:uid="{00000000-0004-0000-0200-00006E020000}"/>
    <hyperlink ref="G474" r:id="rId624" xr:uid="{00000000-0004-0000-0200-00006F020000}"/>
    <hyperlink ref="S474" r:id="rId625" xr:uid="{00000000-0004-0000-0200-000070020000}"/>
    <hyperlink ref="S475" r:id="rId626" xr:uid="{00000000-0004-0000-0200-000071020000}"/>
    <hyperlink ref="F476" r:id="rId627" xr:uid="{00000000-0004-0000-0200-000072020000}"/>
    <hyperlink ref="S476" r:id="rId628" xr:uid="{00000000-0004-0000-0200-000073020000}"/>
    <hyperlink ref="F478" r:id="rId629" xr:uid="{00000000-0004-0000-0200-000074020000}"/>
    <hyperlink ref="S478" r:id="rId630" xr:uid="{00000000-0004-0000-0200-000075020000}"/>
    <hyperlink ref="F480" r:id="rId631" xr:uid="{00000000-0004-0000-0200-000076020000}"/>
    <hyperlink ref="S480" r:id="rId632" xr:uid="{00000000-0004-0000-0200-000077020000}"/>
    <hyperlink ref="S481" r:id="rId633" xr:uid="{00000000-0004-0000-0200-000078020000}"/>
    <hyperlink ref="G482" r:id="rId634" xr:uid="{00000000-0004-0000-0200-000079020000}"/>
    <hyperlink ref="F484" r:id="rId635" xr:uid="{00000000-0004-0000-0200-00007A020000}"/>
    <hyperlink ref="G484" r:id="rId636" xr:uid="{00000000-0004-0000-0200-00007B020000}"/>
    <hyperlink ref="S484" r:id="rId637" xr:uid="{00000000-0004-0000-0200-00007C020000}"/>
    <hyperlink ref="F485" r:id="rId638" xr:uid="{00000000-0004-0000-0200-00007D020000}"/>
    <hyperlink ref="G485" r:id="rId639" xr:uid="{00000000-0004-0000-0200-00007E020000}"/>
    <hyperlink ref="S485" r:id="rId640" xr:uid="{00000000-0004-0000-0200-00007F020000}"/>
    <hyperlink ref="S487" r:id="rId641" xr:uid="{00000000-0004-0000-0200-000080020000}"/>
    <hyperlink ref="G488" r:id="rId642" xr:uid="{00000000-0004-0000-0200-000081020000}"/>
    <hyperlink ref="S488" r:id="rId643" xr:uid="{00000000-0004-0000-0200-000082020000}"/>
    <hyperlink ref="S489" r:id="rId644" xr:uid="{00000000-0004-0000-0200-000083020000}"/>
    <hyperlink ref="S490" r:id="rId645" xr:uid="{00000000-0004-0000-0200-000084020000}"/>
    <hyperlink ref="S491" r:id="rId646" xr:uid="{00000000-0004-0000-0200-000085020000}"/>
    <hyperlink ref="F492" r:id="rId647" xr:uid="{00000000-0004-0000-0200-000086020000}"/>
    <hyperlink ref="S492" r:id="rId648" xr:uid="{00000000-0004-0000-0200-000087020000}"/>
    <hyperlink ref="F493" r:id="rId649" xr:uid="{00000000-0004-0000-0200-000088020000}"/>
    <hyperlink ref="S493" r:id="rId650" xr:uid="{00000000-0004-0000-0200-000089020000}"/>
    <hyperlink ref="G494" r:id="rId651" xr:uid="{00000000-0004-0000-0200-00008A020000}"/>
    <hyperlink ref="S494" r:id="rId652" xr:uid="{00000000-0004-0000-0200-00008B020000}"/>
    <hyperlink ref="F495" r:id="rId653" xr:uid="{00000000-0004-0000-0200-00008C020000}"/>
    <hyperlink ref="S495" r:id="rId654" xr:uid="{00000000-0004-0000-0200-00008D020000}"/>
    <hyperlink ref="F496" r:id="rId655" xr:uid="{00000000-0004-0000-0200-00008E020000}"/>
    <hyperlink ref="S496" r:id="rId656" xr:uid="{00000000-0004-0000-0200-00008F020000}"/>
    <hyperlink ref="F497" r:id="rId657" xr:uid="{00000000-0004-0000-0200-00009002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Twitter Archiver Logs</vt:lpstr>
      <vt:lpstr>#MADM2018 langen -filterretweet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Cumiskey</dc:creator>
  <cp:lastModifiedBy>Glenn Cumiskey</cp:lastModifiedBy>
  <dcterms:created xsi:type="dcterms:W3CDTF">2018-09-07T13:25:51Z</dcterms:created>
  <dcterms:modified xsi:type="dcterms:W3CDTF">2019-07-08T09:48:41Z</dcterms:modified>
</cp:coreProperties>
</file>