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fileSharing readOnlyRecommended="1" userName="Microsoft Office User" reservationPassword="CCED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/Users/abdulazizalmansour/Documents/Spring 2017/Thesis/Paper_format/SPE_Economics_and_Managment/"/>
    </mc:Choice>
  </mc:AlternateContent>
  <bookViews>
    <workbookView xWindow="0" yWindow="460" windowWidth="28800" windowHeight="17440" tabRatio="500" activeTab="1"/>
  </bookViews>
  <sheets>
    <sheet name="Documentation" sheetId="5" r:id="rId1"/>
    <sheet name="Inputs" sheetId="4" r:id="rId2"/>
    <sheet name="Test Accuracy (tree flip)" sheetId="6" r:id="rId3"/>
    <sheet name="Decision Tree" sheetId="7" r:id="rId4"/>
    <sheet name="CDF" sheetId="9" r:id="rId5"/>
  </sheets>
  <externalReferences>
    <externalReference r:id="rId6"/>
  </externalReferences>
  <definedNames>
    <definedName name="cellLeft" localSheetId="1">Inputs!XFD1</definedName>
    <definedName name="cellRight" localSheetId="1">Inputs!B1</definedName>
    <definedName name="CEwithFreeDg">'Decision Tree'!$E$31</definedName>
    <definedName name="CEwithoutDg">'Decision Tree'!$E$10</definedName>
    <definedName name="completionCost">Inputs!$I$27</definedName>
    <definedName name="CompletionEfficiency">Inputs!$I$50</definedName>
    <definedName name="dgAccuracy">Inputs!$I$49</definedName>
    <definedName name="dgAccuracyOpen">'Test Accuracy (tree flip)'!$K$23</definedName>
    <definedName name="dgAccuracySealed">'Test Accuracy (tree flip)'!$K$24</definedName>
    <definedName name="drillingCost">Inputs!$I$41</definedName>
    <definedName name="firstYear" localSheetId="0">[1]Inputs!$H$47</definedName>
    <definedName name="itsVOII">Inputs!$I$7</definedName>
    <definedName name="mb_ProjectNumber" localSheetId="1" hidden="1">"19-996-9"</definedName>
    <definedName name="million">Inputs!$I$37</definedName>
    <definedName name="NoStagesPerfo">Inputs!$I$42</definedName>
    <definedName name="numberOfStages">Inputs!$J$26:$N$26</definedName>
    <definedName name="periodsPerYr" localSheetId="0">[1]Inputs!$H$48</definedName>
    <definedName name="perStageCost">Inputs!$I$47</definedName>
    <definedName name="_xlnm.Print_Area" localSheetId="3">'Decision Tree'!$B$2:$Q$39</definedName>
    <definedName name="_xlnm.Print_Area" localSheetId="2">'Test Accuracy (tree flip)'!$B$3:$S$26</definedName>
    <definedName name="probDgSayOpen">'Test Accuracy (tree flip)'!$K$25</definedName>
    <definedName name="probOpenFrac">Inputs!$I$52</definedName>
    <definedName name="probPresentFrac">Inputs!$I$51</definedName>
    <definedName name="RD_DecisionTable">Inputs!$I$15:$M$20</definedName>
    <definedName name="RD_InputTable">Inputs!$B$33:$Q$54</definedName>
    <definedName name="RD_OutputTable">Inputs!$E$5:$J$10</definedName>
    <definedName name="RowsBelowForD" localSheetId="3">Inputs!#REF!</definedName>
    <definedName name="RowsBelowForD" localSheetId="0">[1]Inputs!$K$64:$M$67</definedName>
    <definedName name="RowsBelowForD">Inputs!#REF!</definedName>
    <definedName name="scalarInputCIndex" localSheetId="3">Inputs!#REF!</definedName>
    <definedName name="scalarInputCIndex" localSheetId="0">[1]Inputs!$H$59</definedName>
    <definedName name="scalarInputCIndex">Inputs!#REF!</definedName>
    <definedName name="seriesInputBIndex" localSheetId="3">Inputs!#REF!</definedName>
    <definedName name="seriesInputBIndex" localSheetId="0">[1]Inputs!$H$56</definedName>
    <definedName name="seriesInputBIndex">Inputs!#REF!</definedName>
    <definedName name="seriesInputBIndex_I" localSheetId="3">Inputs!#REF!</definedName>
    <definedName name="seriesInputBIndex_I">Inputs!#REF!</definedName>
    <definedName name="SeriesInputBRange">'[1]Series Inputs'!$H$16:$W$18</definedName>
    <definedName name="sidewallCoring">Inputs!$I$48</definedName>
    <definedName name="stages">Inputs!$I$26</definedName>
    <definedName name="StrategyTable" localSheetId="0">[1]Inputs!$I$30:$N$36</definedName>
    <definedName name="StrategyTable">Inputs!$J$26:$O$29</definedName>
    <definedName name="stratName">Inputs!$I$14</definedName>
    <definedName name="StratNames" localSheetId="0">[1]Inputs!$H$19:$H$24</definedName>
    <definedName name="StratNames">Inputs!$I$16:$I$20</definedName>
    <definedName name="successfulWell">Inputs!$I$46</definedName>
    <definedName name="theDecision" localSheetId="0">[1]Inputs!$J$17</definedName>
    <definedName name="theDecision">Inputs!$L$14</definedName>
    <definedName name="TheIndex" localSheetId="1">Inputs!$J$33:$J$54</definedName>
    <definedName name="TheLabel" localSheetId="1">Inputs!$C$33:$C$54</definedName>
    <definedName name="TheRange" localSheetId="1">Inputs!$K$33:$N$54</definedName>
    <definedName name="this" localSheetId="1">Inputs!A:A</definedName>
    <definedName name="thousand">Inputs!$I$36</definedName>
    <definedName name="VOII">'Decision Tree'!$C$21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2" i="6" l="1"/>
  <c r="I46" i="4"/>
  <c r="M15" i="7"/>
  <c r="I47" i="4"/>
  <c r="I50" i="4"/>
  <c r="K26" i="4"/>
  <c r="K27" i="4"/>
  <c r="I19" i="7"/>
  <c r="I48" i="4"/>
  <c r="E28" i="7"/>
  <c r="Q14" i="7"/>
  <c r="Q18" i="7"/>
  <c r="Q20" i="7"/>
  <c r="L27" i="4"/>
  <c r="I24" i="7"/>
  <c r="Q24" i="7"/>
  <c r="M27" i="7"/>
  <c r="J27" i="4"/>
  <c r="I31" i="7"/>
  <c r="Q26" i="7"/>
  <c r="Q30" i="7"/>
  <c r="Q32" i="7"/>
  <c r="I36" i="7"/>
  <c r="Q36" i="7"/>
  <c r="I49" i="4"/>
  <c r="H7" i="6"/>
  <c r="I52" i="4"/>
  <c r="F9" i="6"/>
  <c r="I51" i="4"/>
  <c r="D12" i="6"/>
  <c r="I6" i="6"/>
  <c r="R6" i="6"/>
  <c r="H16" i="6"/>
  <c r="H13" i="6"/>
  <c r="F14" i="6"/>
  <c r="I12" i="6"/>
  <c r="R10" i="6"/>
  <c r="Q7" i="6"/>
  <c r="K23" i="6"/>
  <c r="N15" i="7"/>
  <c r="L17" i="7"/>
  <c r="N18" i="7"/>
  <c r="L20" i="7"/>
  <c r="I17" i="7"/>
  <c r="I26" i="7"/>
  <c r="J19" i="7"/>
  <c r="H10" i="6"/>
  <c r="I10" i="6"/>
  <c r="R12" i="6"/>
  <c r="I16" i="6"/>
  <c r="R16" i="6"/>
  <c r="O9" i="6"/>
  <c r="K25" i="6"/>
  <c r="H23" i="7"/>
  <c r="P14" i="7"/>
  <c r="P18" i="7"/>
  <c r="P20" i="7"/>
  <c r="J24" i="7"/>
  <c r="P24" i="7"/>
  <c r="Q16" i="6"/>
  <c r="K24" i="6"/>
  <c r="N30" i="7"/>
  <c r="N27" i="7"/>
  <c r="L29" i="7"/>
  <c r="L32" i="7"/>
  <c r="I29" i="7"/>
  <c r="I38" i="7"/>
  <c r="J31" i="7"/>
  <c r="H34" i="7"/>
  <c r="P26" i="7"/>
  <c r="P30" i="7"/>
  <c r="P32" i="7"/>
  <c r="J36" i="7"/>
  <c r="P36" i="7"/>
  <c r="E31" i="7"/>
  <c r="I10" i="7"/>
  <c r="M5" i="7"/>
  <c r="Q4" i="7"/>
  <c r="Q8" i="7"/>
  <c r="Q10" i="7"/>
  <c r="N5" i="7"/>
  <c r="L7" i="7"/>
  <c r="N8" i="7"/>
  <c r="L10" i="7"/>
  <c r="I8" i="7"/>
  <c r="I12" i="7"/>
  <c r="Q12" i="7"/>
  <c r="I14" i="7"/>
  <c r="J10" i="7"/>
  <c r="P4" i="7"/>
  <c r="P8" i="7"/>
  <c r="P10" i="7"/>
  <c r="J12" i="7"/>
  <c r="P12" i="7"/>
  <c r="E10" i="7"/>
  <c r="C17" i="7"/>
  <c r="C18" i="7"/>
  <c r="C21" i="7"/>
  <c r="J26" i="4"/>
  <c r="E12" i="7"/>
  <c r="I7" i="4"/>
  <c r="I8" i="4"/>
  <c r="B32" i="4"/>
  <c r="I17" i="4"/>
  <c r="C22" i="9"/>
  <c r="C20" i="9"/>
  <c r="C18" i="9"/>
  <c r="D18" i="9"/>
  <c r="D19" i="9"/>
  <c r="D20" i="9"/>
  <c r="D21" i="9"/>
  <c r="D22" i="9"/>
  <c r="D23" i="9"/>
  <c r="C24" i="9"/>
  <c r="D24" i="9"/>
  <c r="D25" i="9"/>
  <c r="C26" i="9"/>
  <c r="D26" i="9"/>
  <c r="D27" i="9"/>
  <c r="C28" i="9"/>
  <c r="D28" i="9"/>
  <c r="D29" i="9"/>
  <c r="C30" i="9"/>
  <c r="D30" i="9"/>
  <c r="D17" i="9"/>
  <c r="B28" i="9"/>
  <c r="B27" i="9"/>
  <c r="B18" i="9"/>
  <c r="B17" i="9"/>
  <c r="B20" i="9"/>
  <c r="B19" i="9"/>
  <c r="I30" i="7"/>
  <c r="I9" i="7"/>
  <c r="I16" i="4"/>
  <c r="B30" i="9"/>
  <c r="B29" i="9"/>
  <c r="B26" i="9"/>
  <c r="B25" i="9"/>
  <c r="B24" i="9"/>
  <c r="B23" i="9"/>
  <c r="B22" i="9"/>
  <c r="B21" i="9"/>
  <c r="C9" i="9"/>
  <c r="D5" i="9"/>
  <c r="D6" i="9"/>
  <c r="C5" i="9"/>
  <c r="D7" i="9"/>
  <c r="D8" i="9"/>
  <c r="C7" i="9"/>
  <c r="D9" i="9"/>
  <c r="D10" i="9"/>
  <c r="C11" i="9"/>
  <c r="D11" i="9"/>
  <c r="B11" i="9"/>
  <c r="B10" i="9"/>
  <c r="B7" i="9"/>
  <c r="B6" i="9"/>
  <c r="B5" i="9"/>
  <c r="B4" i="9"/>
  <c r="B9" i="9"/>
  <c r="B8" i="9"/>
  <c r="F15" i="9"/>
  <c r="F1" i="9"/>
  <c r="C23" i="7"/>
  <c r="I18" i="7"/>
  <c r="D19" i="6"/>
  <c r="I19" i="6"/>
  <c r="R19" i="6"/>
  <c r="M19" i="6"/>
  <c r="O14" i="6"/>
  <c r="Q13" i="6"/>
  <c r="Q10" i="6"/>
  <c r="I26" i="4"/>
  <c r="I27" i="4"/>
  <c r="O53" i="4"/>
  <c r="O45" i="4"/>
  <c r="O44" i="4"/>
  <c r="O39" i="4"/>
  <c r="O38" i="4"/>
  <c r="O37" i="4"/>
  <c r="O36" i="4"/>
  <c r="O35" i="4"/>
  <c r="O34" i="4"/>
  <c r="I14" i="4"/>
  <c r="N2" i="4"/>
  <c r="E2" i="4"/>
</calcChain>
</file>

<file path=xl/sharedStrings.xml><?xml version="1.0" encoding="utf-8"?>
<sst xmlns="http://schemas.openxmlformats.org/spreadsheetml/2006/main" count="201" uniqueCount="152">
  <si>
    <t>Output Table</t>
  </si>
  <si>
    <t>Description</t>
  </si>
  <si>
    <t>Name</t>
  </si>
  <si>
    <t>Value</t>
  </si>
  <si>
    <t>Skip</t>
  </si>
  <si>
    <t>Comments</t>
  </si>
  <si>
    <t>RD_OutputTable</t>
  </si>
  <si>
    <t>Decision Table</t>
  </si>
  <si>
    <t>stratName</t>
  </si>
  <si>
    <t>theDecision</t>
  </si>
  <si>
    <t>Number</t>
  </si>
  <si>
    <t>StratNames</t>
  </si>
  <si>
    <t>RD_DecisionTable</t>
  </si>
  <si>
    <t>Strategy Table</t>
  </si>
  <si>
    <t>Strategy-Dependent Decisions, by Strategy</t>
  </si>
  <si>
    <t>In Use</t>
  </si>
  <si>
    <t>StrategyTable</t>
  </si>
  <si>
    <t>Parameters</t>
  </si>
  <si>
    <t>Units</t>
  </si>
  <si>
    <t>Index</t>
  </si>
  <si>
    <t>Low</t>
  </si>
  <si>
    <t>Base</t>
  </si>
  <si>
    <t>High</t>
  </si>
  <si>
    <t>Override</t>
  </si>
  <si>
    <t>Constants</t>
  </si>
  <si>
    <t>Thousand</t>
  </si>
  <si>
    <t>#</t>
  </si>
  <si>
    <t>thousand</t>
  </si>
  <si>
    <t>skip</t>
  </si>
  <si>
    <t>Million</t>
  </si>
  <si>
    <t>million</t>
  </si>
  <si>
    <t>Parameters with No Uncertainty</t>
  </si>
  <si>
    <t>Model Uncertainties</t>
  </si>
  <si>
    <t>TheLabel</t>
  </si>
  <si>
    <t>TheIndex</t>
  </si>
  <si>
    <t>TheRange</t>
  </si>
  <si>
    <t>Change Log</t>
  </si>
  <si>
    <t>Date/Time</t>
  </si>
  <si>
    <t>Version</t>
  </si>
  <si>
    <t>Modeler</t>
  </si>
  <si>
    <t>Description of Change</t>
  </si>
  <si>
    <t>Styles</t>
  </si>
  <si>
    <t>Example</t>
  </si>
  <si>
    <t>Style Name</t>
  </si>
  <si>
    <t>Input</t>
  </si>
  <si>
    <t>Placeholder</t>
  </si>
  <si>
    <t>Calculations and other text</t>
  </si>
  <si>
    <t>Conventions:</t>
  </si>
  <si>
    <t>Names</t>
  </si>
  <si>
    <t>Range names beginning with capital letters refer to time series.</t>
  </si>
  <si>
    <t>Range names beginning with lower case letters refer to single-cell scalars.</t>
  </si>
  <si>
    <r>
      <t>Pre-defined Local Relative Range Names</t>
    </r>
    <r>
      <rPr>
        <sz val="10"/>
        <rFont val="Arial"/>
        <family val="2"/>
      </rPr>
      <t xml:space="preserve"> (defined on some selected sheets)</t>
    </r>
  </si>
  <si>
    <t>Where a local name references an optional RangeName, this is shown in brackets. Without the optional RangeName, the current row is referenced.</t>
  </si>
  <si>
    <t>cellLeft</t>
  </si>
  <si>
    <t>refers to the cell immediately to the left of the current selection</t>
  </si>
  <si>
    <t>cellRight</t>
  </si>
  <si>
    <t>refers to the cell immediately to the right of the current selection</t>
  </si>
  <si>
    <t>first [RangeName]</t>
  </si>
  <si>
    <t>Refers to the column labeled as first [in the range RangeName] on the current sheet</t>
  </si>
  <si>
    <t>last [RangeName]</t>
  </si>
  <si>
    <t>Refers to the column labeled as last [in the range RangeName] on the current sheet</t>
  </si>
  <si>
    <t>this [RangeName]</t>
  </si>
  <si>
    <t>Refers to the current column [in the range RangeName] on the current sheet</t>
  </si>
  <si>
    <t>Do not complete</t>
  </si>
  <si>
    <t>$</t>
  </si>
  <si>
    <t>perStageCost</t>
  </si>
  <si>
    <t>Cost of completion</t>
  </si>
  <si>
    <t>Buy Dg</t>
  </si>
  <si>
    <t>Do not buy Dg</t>
  </si>
  <si>
    <t>stages</t>
  </si>
  <si>
    <t>completionCost</t>
  </si>
  <si>
    <t>Value of Imperfect Information for the Dg technique ($)</t>
  </si>
  <si>
    <t>itsVOII</t>
  </si>
  <si>
    <t>sidewallCoring</t>
  </si>
  <si>
    <t>VOII</t>
  </si>
  <si>
    <t>References</t>
  </si>
  <si>
    <t>Cost of Sidewall Coring</t>
  </si>
  <si>
    <t>Company Name</t>
  </si>
  <si>
    <t xml:space="preserve">Haliburton </t>
  </si>
  <si>
    <t xml:space="preserve">Depth service charge  </t>
  </si>
  <si>
    <t xml:space="preserve">Additional openhole services </t>
  </si>
  <si>
    <t>AHWireline</t>
  </si>
  <si>
    <t>Setup</t>
  </si>
  <si>
    <t>Depth &amp; Survey</t>
  </si>
  <si>
    <t>Prices are based on an example well</t>
  </si>
  <si>
    <t>Permian Basin</t>
  </si>
  <si>
    <t>Formation:</t>
  </si>
  <si>
    <t>Permian Wolfcamp sandstone, west Texas.</t>
  </si>
  <si>
    <t>Basin:</t>
  </si>
  <si>
    <t>Depth (ft):</t>
  </si>
  <si>
    <t>-7,770’ to -7,870’</t>
  </si>
  <si>
    <t>Cost of Completion</t>
  </si>
  <si>
    <t>Cost to drill</t>
  </si>
  <si>
    <t>drillingCost</t>
  </si>
  <si>
    <t>successfulWell</t>
  </si>
  <si>
    <t>Fractures absent</t>
  </si>
  <si>
    <t>Fractures present</t>
  </si>
  <si>
    <t>Fractures open</t>
  </si>
  <si>
    <t>Fractures sealed</t>
  </si>
  <si>
    <t>Probability assignment</t>
  </si>
  <si>
    <t>Accuracy of Dg indicator</t>
  </si>
  <si>
    <t>%</t>
  </si>
  <si>
    <t>dgAccuracy</t>
  </si>
  <si>
    <t>Outcomes</t>
  </si>
  <si>
    <t>Joint Probabilities</t>
  </si>
  <si>
    <t>CE</t>
  </si>
  <si>
    <t>VOII =</t>
  </si>
  <si>
    <t>Probability fractures are present</t>
  </si>
  <si>
    <t>probPresentFrac</t>
  </si>
  <si>
    <t>probOpenFrac</t>
  </si>
  <si>
    <t>Assessed Form</t>
  </si>
  <si>
    <t>Inferential Form</t>
  </si>
  <si>
    <t>Dg shows "Open"</t>
  </si>
  <si>
    <t>Dg ahows "sealed"</t>
  </si>
  <si>
    <t>Dg shows "sealed"</t>
  </si>
  <si>
    <t>Fractures present (P)</t>
  </si>
  <si>
    <t>Fractures open (O)</t>
  </si>
  <si>
    <t>Dg (D)</t>
  </si>
  <si>
    <t>p(POD)</t>
  </si>
  <si>
    <t>Dg accuracy when  it Indicates Open</t>
  </si>
  <si>
    <t>Probability of Dg to show open</t>
  </si>
  <si>
    <t>VOII - Cost =</t>
  </si>
  <si>
    <t>CE with free Dg</t>
  </si>
  <si>
    <t>CE without Dg</t>
  </si>
  <si>
    <t>Cost of drilling</t>
  </si>
  <si>
    <t>Don't Buy the Dg indicator</t>
  </si>
  <si>
    <t>probability</t>
  </si>
  <si>
    <t>cumulative probability</t>
  </si>
  <si>
    <t>Buy the Dg indicator</t>
  </si>
  <si>
    <t>outcome ($)</t>
  </si>
  <si>
    <t>Cost per stage averaged at $125,000</t>
  </si>
  <si>
    <t>"Costs per stage range from US$ 50 000 to US$ 200 000 or more. The average is US$ 125 000."</t>
  </si>
  <si>
    <t xml:space="preserve">Reference: </t>
  </si>
  <si>
    <t>Taking Centre Stage, Oilfield Technology, 2013</t>
  </si>
  <si>
    <t>averaged at $1,250,000</t>
  </si>
  <si>
    <t>Dg accuracy when  it Indicates Sealed</t>
  </si>
  <si>
    <t>Decision nodes automatically choose the alternative with the highest CE</t>
  </si>
  <si>
    <t>Purchase the test?</t>
  </si>
  <si>
    <t>Per core/sample</t>
  </si>
  <si>
    <t>Price per Core/sample</t>
  </si>
  <si>
    <t>Expected revenue from a successful well</t>
  </si>
  <si>
    <t>Number of Stages/Perforations without Dg indicator</t>
  </si>
  <si>
    <t>Expected improvement in completion efficiency after Dg</t>
  </si>
  <si>
    <t>CompletionEfficiency</t>
  </si>
  <si>
    <t>NoStagesPerfo</t>
  </si>
  <si>
    <t xml:space="preserve">If the Dg test does not hold the possibility to change our decision, the model will give a VoII of "Not Material" which means the test is worth $0 </t>
  </si>
  <si>
    <t>Cost of sidewall coring and thin sections (for 30 samples)</t>
  </si>
  <si>
    <t>Average per sample (standard point counting, rush order)</t>
  </si>
  <si>
    <t>Cost of thin sections and point counting</t>
  </si>
  <si>
    <t>Number of stages/perforations</t>
  </si>
  <si>
    <t>Cost of completion per stage/perforation</t>
  </si>
  <si>
    <t>Probability fractures are open and conductive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</si>
</sst>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43" formatCode="_(* #,##0.00_);_(* \(#,##0.00\);_(* &quot;-&quot;??_);_(@_)"/>
    <numFmt numFmtId="164" formatCode="m/d/yyyy;@"/>
    <numFmt numFmtId="165" formatCode="#,##0.0"/>
    <numFmt numFmtId="166" formatCode="0.0%"/>
    <numFmt numFmtId="167" formatCode="mm/dd/yyyy"/>
    <numFmt numFmtId="168" formatCode="0.0"/>
    <numFmt numFmtId="169" formatCode="_(* #,##0_);_(* \(#,##0\);_(* &quot;-&quot;??_);_(@_)"/>
    <numFmt numFmtId="170" formatCode="_(&quot;$&quot;* #,##0_);_(&quot;$&quot;* \(#,##0\);_(&quot;$&quot;* &quot;-&quot;??_);_(@_)"/>
    <numFmt numFmtId="171" formatCode="0.000"/>
  </numFmts>
  <fonts count="3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indexed="55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56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name val="Arial"/>
      <family val="2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1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 applyNumberFormat="0" applyFill="0" applyBorder="0" applyAlignment="0"/>
    <xf numFmtId="0" fontId="12" fillId="5" borderId="0" applyNumberFormat="0" applyBorder="0" applyAlignment="0"/>
    <xf numFmtId="0" fontId="5" fillId="0" borderId="0"/>
    <xf numFmtId="0" fontId="10" fillId="0" borderId="0" applyNumberFormat="0" applyFill="0" applyBorder="0" applyAlignment="0" applyProtection="0"/>
    <xf numFmtId="0" fontId="13" fillId="6" borderId="0" applyNumberFormat="0" applyBorder="0" applyAlignment="0"/>
    <xf numFmtId="0" fontId="14" fillId="0" borderId="16" applyNumberFormat="0" applyAlignment="0"/>
    <xf numFmtId="43" fontId="1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4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44">
    <xf numFmtId="0" fontId="0" fillId="0" borderId="0" xfId="0"/>
    <xf numFmtId="0" fontId="5" fillId="2" borderId="1" xfId="2" applyFill="1" applyBorder="1"/>
    <xf numFmtId="0" fontId="5" fillId="2" borderId="2" xfId="2" applyFill="1" applyBorder="1"/>
    <xf numFmtId="0" fontId="5" fillId="2" borderId="3" xfId="2" applyFill="1" applyBorder="1"/>
    <xf numFmtId="0" fontId="5" fillId="0" borderId="0" xfId="2"/>
    <xf numFmtId="0" fontId="5" fillId="2" borderId="4" xfId="2" applyFill="1" applyBorder="1"/>
    <xf numFmtId="0" fontId="5" fillId="2" borderId="0" xfId="2" applyFill="1" applyBorder="1"/>
    <xf numFmtId="0" fontId="5" fillId="3" borderId="5" xfId="2" applyFill="1" applyBorder="1"/>
    <xf numFmtId="0" fontId="5" fillId="3" borderId="6" xfId="2" applyFill="1" applyBorder="1"/>
    <xf numFmtId="0" fontId="5" fillId="2" borderId="8" xfId="2" applyFill="1" applyBorder="1"/>
    <xf numFmtId="0" fontId="5" fillId="0" borderId="0" xfId="2" applyFill="1" applyBorder="1"/>
    <xf numFmtId="0" fontId="5" fillId="0" borderId="5" xfId="2" applyFill="1" applyBorder="1" applyAlignment="1">
      <alignment horizontal="centerContinuous"/>
    </xf>
    <xf numFmtId="0" fontId="5" fillId="0" borderId="6" xfId="2" applyFill="1" applyBorder="1" applyAlignment="1">
      <alignment horizontal="centerContinuous"/>
    </xf>
    <xf numFmtId="0" fontId="5" fillId="0" borderId="7" xfId="2" applyFill="1" applyBorder="1" applyAlignment="1">
      <alignment horizontal="centerContinuous"/>
    </xf>
    <xf numFmtId="0" fontId="5" fillId="0" borderId="9" xfId="2" applyFill="1" applyBorder="1" applyAlignment="1">
      <alignment horizontal="center"/>
    </xf>
    <xf numFmtId="0" fontId="5" fillId="0" borderId="5" xfId="2" applyFill="1" applyBorder="1" applyAlignment="1">
      <alignment horizontal="center"/>
    </xf>
    <xf numFmtId="0" fontId="5" fillId="0" borderId="1" xfId="2" applyFill="1" applyBorder="1" applyAlignment="1">
      <alignment horizontal="left"/>
    </xf>
    <xf numFmtId="0" fontId="5" fillId="0" borderId="2" xfId="2" applyFill="1" applyBorder="1" applyAlignment="1">
      <alignment horizontal="left"/>
    </xf>
    <xf numFmtId="0" fontId="5" fillId="0" borderId="3" xfId="2" applyFill="1" applyBorder="1" applyAlignment="1">
      <alignment horizontal="left"/>
    </xf>
    <xf numFmtId="0" fontId="5" fillId="0" borderId="10" xfId="2" applyFont="1" applyFill="1" applyBorder="1" applyAlignment="1">
      <alignment horizontal="left"/>
    </xf>
    <xf numFmtId="0" fontId="5" fillId="0" borderId="10" xfId="2" applyFill="1" applyBorder="1" applyAlignment="1">
      <alignment horizontal="center"/>
    </xf>
    <xf numFmtId="0" fontId="5" fillId="0" borderId="1" xfId="2" applyFill="1" applyBorder="1" applyAlignment="1">
      <alignment horizontal="center"/>
    </xf>
    <xf numFmtId="0" fontId="5" fillId="0" borderId="4" xfId="2" applyFont="1" applyFill="1" applyBorder="1" applyAlignment="1">
      <alignment horizontal="left"/>
    </xf>
    <xf numFmtId="0" fontId="5" fillId="0" borderId="0" xfId="2" applyFill="1" applyBorder="1" applyAlignment="1">
      <alignment horizontal="left"/>
    </xf>
    <xf numFmtId="0" fontId="5" fillId="0" borderId="8" xfId="2" applyFill="1" applyBorder="1" applyAlignment="1">
      <alignment horizontal="left"/>
    </xf>
    <xf numFmtId="0" fontId="5" fillId="0" borderId="11" xfId="2" applyFont="1" applyFill="1" applyBorder="1" applyAlignment="1">
      <alignment horizontal="left"/>
    </xf>
    <xf numFmtId="165" fontId="5" fillId="0" borderId="11" xfId="2" applyNumberFormat="1" applyFill="1" applyBorder="1" applyAlignment="1">
      <alignment horizontal="center"/>
    </xf>
    <xf numFmtId="165" fontId="5" fillId="0" borderId="4" xfId="2" applyNumberFormat="1" applyFill="1" applyBorder="1" applyAlignment="1">
      <alignment horizontal="center"/>
    </xf>
    <xf numFmtId="0" fontId="5" fillId="0" borderId="4" xfId="2" applyFill="1" applyBorder="1" applyAlignment="1">
      <alignment horizontal="left"/>
    </xf>
    <xf numFmtId="0" fontId="5" fillId="0" borderId="11" xfId="2" applyFill="1" applyBorder="1" applyAlignment="1">
      <alignment horizontal="center"/>
    </xf>
    <xf numFmtId="0" fontId="5" fillId="4" borderId="12" xfId="2" applyFill="1" applyBorder="1" applyAlignment="1">
      <alignment horizontal="left"/>
    </xf>
    <xf numFmtId="0" fontId="5" fillId="4" borderId="13" xfId="2" applyFill="1" applyBorder="1" applyAlignment="1">
      <alignment horizontal="left"/>
    </xf>
    <xf numFmtId="0" fontId="5" fillId="4" borderId="14" xfId="2" applyFill="1" applyBorder="1" applyAlignment="1">
      <alignment horizontal="left"/>
    </xf>
    <xf numFmtId="0" fontId="5" fillId="4" borderId="15" xfId="2" applyFont="1" applyFill="1" applyBorder="1" applyAlignment="1">
      <alignment horizontal="left"/>
    </xf>
    <xf numFmtId="0" fontId="5" fillId="4" borderId="15" xfId="2" applyFill="1" applyBorder="1" applyAlignment="1">
      <alignment horizontal="center"/>
    </xf>
    <xf numFmtId="0" fontId="5" fillId="4" borderId="12" xfId="2" applyFill="1" applyBorder="1" applyAlignment="1">
      <alignment horizontal="center"/>
    </xf>
    <xf numFmtId="0" fontId="6" fillId="2" borderId="0" xfId="2" applyFont="1" applyFill="1" applyBorder="1" applyAlignment="1">
      <alignment horizontal="right"/>
    </xf>
    <xf numFmtId="0" fontId="5" fillId="3" borderId="5" xfId="2" applyFont="1" applyFill="1" applyBorder="1" applyAlignment="1">
      <alignment horizontal="centerContinuous"/>
    </xf>
    <xf numFmtId="0" fontId="5" fillId="3" borderId="6" xfId="2" applyFill="1" applyBorder="1" applyAlignment="1">
      <alignment horizontal="centerContinuous"/>
    </xf>
    <xf numFmtId="0" fontId="5" fillId="3" borderId="7" xfId="2" applyFill="1" applyBorder="1" applyAlignment="1">
      <alignment horizontal="centerContinuous"/>
    </xf>
    <xf numFmtId="0" fontId="7" fillId="0" borderId="5" xfId="2" applyFont="1" applyFill="1" applyBorder="1" applyAlignment="1">
      <alignment horizontal="left" vertical="center"/>
    </xf>
    <xf numFmtId="0" fontId="5" fillId="0" borderId="6" xfId="2" applyBorder="1"/>
    <xf numFmtId="0" fontId="8" fillId="0" borderId="9" xfId="2" applyFont="1" applyFill="1" applyBorder="1" applyAlignment="1">
      <alignment horizontal="center" vertical="center"/>
    </xf>
    <xf numFmtId="0" fontId="6" fillId="2" borderId="0" xfId="2" applyFont="1" applyFill="1" applyBorder="1"/>
    <xf numFmtId="0" fontId="5" fillId="0" borderId="6" xfId="2" applyBorder="1" applyAlignment="1">
      <alignment horizontal="centerContinuous"/>
    </xf>
    <xf numFmtId="0" fontId="8" fillId="0" borderId="4" xfId="2" applyFont="1" applyFill="1" applyBorder="1" applyAlignment="1">
      <alignment horizontal="left"/>
    </xf>
    <xf numFmtId="0" fontId="5" fillId="0" borderId="0" xfId="2" applyBorder="1"/>
    <xf numFmtId="9" fontId="8" fillId="0" borderId="11" xfId="3" applyFont="1" applyFill="1" applyBorder="1" applyAlignment="1">
      <alignment horizontal="center"/>
    </xf>
    <xf numFmtId="0" fontId="8" fillId="4" borderId="12" xfId="2" applyFont="1" applyFill="1" applyBorder="1" applyAlignment="1">
      <alignment horizontal="left"/>
    </xf>
    <xf numFmtId="0" fontId="5" fillId="4" borderId="13" xfId="2" applyFill="1" applyBorder="1"/>
    <xf numFmtId="0" fontId="5" fillId="4" borderId="7" xfId="2" applyFill="1" applyBorder="1" applyAlignment="1">
      <alignment horizontal="centerContinuous"/>
    </xf>
    <xf numFmtId="0" fontId="5" fillId="4" borderId="7" xfId="2" applyFill="1" applyBorder="1" applyAlignment="1">
      <alignment horizontal="center"/>
    </xf>
    <xf numFmtId="0" fontId="5" fillId="0" borderId="11" xfId="2" applyFill="1" applyBorder="1" applyAlignment="1">
      <alignment horizontal="left"/>
    </xf>
    <xf numFmtId="0" fontId="8" fillId="0" borderId="2" xfId="2" applyFont="1" applyFill="1" applyBorder="1" applyAlignment="1">
      <alignment horizontal="center"/>
    </xf>
    <xf numFmtId="0" fontId="5" fillId="4" borderId="8" xfId="2" applyFill="1" applyBorder="1" applyAlignment="1">
      <alignment horizontal="left"/>
    </xf>
    <xf numFmtId="0" fontId="8" fillId="0" borderId="4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center"/>
    </xf>
    <xf numFmtId="0" fontId="8" fillId="4" borderId="12" xfId="2" applyFont="1" applyFill="1" applyBorder="1" applyAlignment="1">
      <alignment horizontal="center"/>
    </xf>
    <xf numFmtId="0" fontId="8" fillId="4" borderId="13" xfId="2" applyFont="1" applyFill="1" applyBorder="1" applyAlignment="1">
      <alignment horizontal="center"/>
    </xf>
    <xf numFmtId="0" fontId="5" fillId="0" borderId="4" xfId="2" applyBorder="1" applyAlignment="1">
      <alignment horizontal="centerContinuous"/>
    </xf>
    <xf numFmtId="0" fontId="5" fillId="0" borderId="0" xfId="2" applyBorder="1" applyAlignment="1">
      <alignment horizontal="centerContinuous"/>
    </xf>
    <xf numFmtId="0" fontId="5" fillId="0" borderId="0" xfId="2" applyBorder="1" applyAlignment="1">
      <alignment horizontal="center"/>
    </xf>
    <xf numFmtId="0" fontId="5" fillId="0" borderId="15" xfId="2" applyFont="1" applyBorder="1" applyAlignment="1">
      <alignment horizontal="center"/>
    </xf>
    <xf numFmtId="0" fontId="5" fillId="0" borderId="15" xfId="2" applyBorder="1" applyAlignment="1">
      <alignment horizontal="center"/>
    </xf>
    <xf numFmtId="0" fontId="5" fillId="0" borderId="9" xfId="2" applyBorder="1" applyAlignment="1">
      <alignment horizontal="center"/>
    </xf>
    <xf numFmtId="0" fontId="5" fillId="0" borderId="13" xfId="2" applyBorder="1" applyAlignment="1">
      <alignment horizontal="center"/>
    </xf>
    <xf numFmtId="0" fontId="5" fillId="0" borderId="14" xfId="2" applyBorder="1" applyAlignment="1">
      <alignment horizontal="center"/>
    </xf>
    <xf numFmtId="0" fontId="5" fillId="0" borderId="5" xfId="2" applyBorder="1" applyAlignment="1">
      <alignment horizontal="centerContinuous"/>
    </xf>
    <xf numFmtId="0" fontId="5" fillId="0" borderId="7" xfId="2" applyBorder="1" applyAlignment="1">
      <alignment horizontal="centerContinuous"/>
    </xf>
    <xf numFmtId="0" fontId="5" fillId="0" borderId="1" xfId="2" applyBorder="1" applyAlignment="1">
      <alignment horizontal="left"/>
    </xf>
    <xf numFmtId="0" fontId="5" fillId="0" borderId="2" xfId="2" applyBorder="1" applyAlignment="1">
      <alignment horizontal="left"/>
    </xf>
    <xf numFmtId="0" fontId="5" fillId="0" borderId="10" xfId="2" applyFont="1" applyBorder="1" applyAlignment="1">
      <alignment horizontal="left"/>
    </xf>
    <xf numFmtId="0" fontId="8" fillId="0" borderId="11" xfId="2" applyFont="1" applyFill="1" applyBorder="1" applyAlignment="1">
      <alignment horizontal="center"/>
    </xf>
    <xf numFmtId="0" fontId="8" fillId="0" borderId="3" xfId="2" applyFont="1" applyFill="1" applyBorder="1" applyAlignment="1">
      <alignment horizontal="center"/>
    </xf>
    <xf numFmtId="0" fontId="5" fillId="0" borderId="3" xfId="2" applyFill="1" applyBorder="1" applyAlignment="1">
      <alignment horizontal="center"/>
    </xf>
    <xf numFmtId="0" fontId="7" fillId="0" borderId="4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left"/>
    </xf>
    <xf numFmtId="0" fontId="8" fillId="0" borderId="8" xfId="2" applyFont="1" applyFill="1" applyBorder="1" applyAlignment="1">
      <alignment horizontal="center"/>
    </xf>
    <xf numFmtId="0" fontId="5" fillId="0" borderId="8" xfId="2" applyFill="1" applyBorder="1" applyAlignment="1">
      <alignment horizontal="center"/>
    </xf>
    <xf numFmtId="0" fontId="5" fillId="0" borderId="0" xfId="2" applyFont="1" applyFill="1" applyBorder="1"/>
    <xf numFmtId="0" fontId="7" fillId="0" borderId="4" xfId="2" applyFont="1" applyBorder="1" applyAlignment="1">
      <alignment horizontal="left"/>
    </xf>
    <xf numFmtId="0" fontId="5" fillId="0" borderId="0" xfId="2" applyBorder="1" applyAlignment="1">
      <alignment horizontal="left"/>
    </xf>
    <xf numFmtId="0" fontId="5" fillId="0" borderId="11" xfId="2" applyFont="1" applyBorder="1" applyAlignment="1">
      <alignment horizontal="left"/>
    </xf>
    <xf numFmtId="0" fontId="5" fillId="0" borderId="4" xfId="2" applyBorder="1" applyAlignment="1">
      <alignment horizontal="left"/>
    </xf>
    <xf numFmtId="0" fontId="5" fillId="0" borderId="0" xfId="2" applyFont="1" applyBorder="1" applyAlignment="1">
      <alignment horizontal="left"/>
    </xf>
    <xf numFmtId="166" fontId="8" fillId="0" borderId="0" xfId="3" applyNumberFormat="1" applyFont="1" applyFill="1" applyBorder="1" applyAlignment="1">
      <alignment horizontal="center"/>
    </xf>
    <xf numFmtId="166" fontId="8" fillId="0" borderId="8" xfId="3" applyNumberFormat="1" applyFont="1" applyFill="1" applyBorder="1" applyAlignment="1">
      <alignment horizontal="center"/>
    </xf>
    <xf numFmtId="0" fontId="11" fillId="0" borderId="4" xfId="2" applyFont="1" applyBorder="1" applyAlignment="1">
      <alignment horizontal="left"/>
    </xf>
    <xf numFmtId="0" fontId="5" fillId="4" borderId="15" xfId="2" applyFont="1" applyFill="1" applyBorder="1" applyAlignment="1">
      <alignment horizontal="center"/>
    </xf>
    <xf numFmtId="0" fontId="8" fillId="4" borderId="15" xfId="2" applyFont="1" applyFill="1" applyBorder="1" applyAlignment="1">
      <alignment horizontal="center"/>
    </xf>
    <xf numFmtId="0" fontId="8" fillId="4" borderId="14" xfId="2" applyFont="1" applyFill="1" applyBorder="1" applyAlignment="1">
      <alignment horizontal="center"/>
    </xf>
    <xf numFmtId="0" fontId="5" fillId="4" borderId="14" xfId="2" applyFill="1" applyBorder="1" applyAlignment="1">
      <alignment horizontal="center"/>
    </xf>
    <xf numFmtId="0" fontId="5" fillId="2" borderId="12" xfId="2" applyFill="1" applyBorder="1"/>
    <xf numFmtId="0" fontId="6" fillId="2" borderId="13" xfId="2" applyFont="1" applyFill="1" applyBorder="1" applyAlignment="1">
      <alignment horizontal="left"/>
    </xf>
    <xf numFmtId="0" fontId="5" fillId="2" borderId="13" xfId="2" applyFill="1" applyBorder="1"/>
    <xf numFmtId="0" fontId="6" fillId="2" borderId="13" xfId="2" applyFont="1" applyFill="1" applyBorder="1"/>
    <xf numFmtId="0" fontId="6" fillId="2" borderId="13" xfId="2" applyFont="1" applyFill="1" applyBorder="1" applyAlignment="1">
      <alignment horizontal="right"/>
    </xf>
    <xf numFmtId="0" fontId="5" fillId="2" borderId="14" xfId="2" applyFill="1" applyBorder="1"/>
    <xf numFmtId="0" fontId="5" fillId="0" borderId="6" xfId="6" applyFont="1" applyBorder="1" applyAlignment="1">
      <alignment horizontal="center"/>
    </xf>
    <xf numFmtId="167" fontId="5" fillId="0" borderId="4" xfId="6" applyNumberFormat="1" applyFont="1" applyBorder="1" applyAlignment="1">
      <alignment vertical="top"/>
    </xf>
    <xf numFmtId="0" fontId="5" fillId="0" borderId="0" xfId="6" applyFont="1" applyBorder="1" applyAlignment="1">
      <alignment horizontal="center" vertical="top"/>
    </xf>
    <xf numFmtId="168" fontId="5" fillId="0" borderId="0" xfId="6" applyNumberFormat="1" applyFont="1" applyBorder="1" applyAlignment="1">
      <alignment horizontal="center" vertical="top"/>
    </xf>
    <xf numFmtId="0" fontId="5" fillId="0" borderId="0" xfId="6" applyFont="1" applyBorder="1" applyAlignment="1">
      <alignment horizontal="center"/>
    </xf>
    <xf numFmtId="0" fontId="5" fillId="0" borderId="13" xfId="6" applyFont="1" applyBorder="1" applyAlignment="1">
      <alignment horizontal="center"/>
    </xf>
    <xf numFmtId="0" fontId="8" fillId="0" borderId="0" xfId="10" applyNumberFormat="1" applyFont="1" applyFill="1" applyAlignment="1">
      <alignment horizontal="center"/>
    </xf>
    <xf numFmtId="0" fontId="10" fillId="0" borderId="0" xfId="7" applyAlignment="1">
      <alignment horizontal="center"/>
    </xf>
    <xf numFmtId="0" fontId="5" fillId="0" borderId="0" xfId="4" applyAlignment="1">
      <alignment horizontal="center"/>
    </xf>
    <xf numFmtId="167" fontId="7" fillId="0" borderId="0" xfId="6" applyNumberFormat="1" applyFont="1" applyAlignment="1">
      <alignment vertical="top"/>
    </xf>
    <xf numFmtId="0" fontId="5" fillId="0" borderId="0" xfId="6" applyFont="1" applyAlignment="1">
      <alignment vertical="top"/>
    </xf>
    <xf numFmtId="167" fontId="5" fillId="0" borderId="0" xfId="6" applyNumberFormat="1" applyFont="1" applyAlignment="1">
      <alignment vertical="top"/>
    </xf>
    <xf numFmtId="0" fontId="7" fillId="0" borderId="0" xfId="6" applyFont="1" applyAlignment="1">
      <alignment vertical="top"/>
    </xf>
    <xf numFmtId="169" fontId="17" fillId="0" borderId="4" xfId="1" applyNumberFormat="1" applyFont="1" applyFill="1" applyBorder="1" applyAlignment="1">
      <alignment horizontal="right" vertical="center"/>
    </xf>
    <xf numFmtId="169" fontId="17" fillId="0" borderId="0" xfId="1" applyNumberFormat="1" applyFont="1" applyFill="1" applyBorder="1" applyAlignment="1">
      <alignment horizontal="right"/>
    </xf>
    <xf numFmtId="0" fontId="8" fillId="0" borderId="2" xfId="2" applyFont="1" applyFill="1" applyBorder="1" applyAlignment="1">
      <alignment horizontal="right" vertical="center"/>
    </xf>
    <xf numFmtId="1" fontId="17" fillId="0" borderId="0" xfId="1" applyNumberFormat="1" applyFont="1" applyFill="1" applyBorder="1" applyAlignment="1">
      <alignment horizontal="right"/>
    </xf>
    <xf numFmtId="0" fontId="5" fillId="0" borderId="6" xfId="2" applyFill="1" applyBorder="1" applyAlignment="1">
      <alignment horizontal="center"/>
    </xf>
    <xf numFmtId="0" fontId="5" fillId="0" borderId="6" xfId="2" applyFill="1" applyBorder="1" applyAlignment="1">
      <alignment horizontal="left"/>
    </xf>
    <xf numFmtId="0" fontId="5" fillId="0" borderId="11" xfId="2" applyFont="1" applyFill="1" applyBorder="1" applyAlignment="1">
      <alignment horizontal="left" vertical="center"/>
    </xf>
    <xf numFmtId="165" fontId="5" fillId="0" borderId="4" xfId="2" applyNumberFormat="1" applyFill="1" applyBorder="1" applyAlignment="1">
      <alignment horizontal="center" vertical="center"/>
    </xf>
    <xf numFmtId="0" fontId="5" fillId="0" borderId="4" xfId="2" applyFill="1" applyBorder="1" applyAlignment="1">
      <alignment horizontal="left" vertical="center"/>
    </xf>
    <xf numFmtId="0" fontId="5" fillId="0" borderId="0" xfId="2" applyFill="1" applyBorder="1" applyAlignment="1">
      <alignment horizontal="left" vertical="center"/>
    </xf>
    <xf numFmtId="0" fontId="5" fillId="0" borderId="8" xfId="2" applyFill="1" applyBorder="1" applyAlignment="1">
      <alignment horizontal="left" vertical="center"/>
    </xf>
    <xf numFmtId="169" fontId="8" fillId="0" borderId="0" xfId="1" applyNumberFormat="1" applyFont="1" applyFill="1" applyBorder="1" applyAlignment="1">
      <alignment horizontal="center"/>
    </xf>
    <xf numFmtId="169" fontId="8" fillId="0" borderId="8" xfId="1" applyNumberFormat="1" applyFont="1" applyFill="1" applyBorder="1" applyAlignment="1">
      <alignment horizontal="center"/>
    </xf>
    <xf numFmtId="170" fontId="0" fillId="0" borderId="0" xfId="0" applyNumberFormat="1"/>
    <xf numFmtId="170" fontId="0" fillId="0" borderId="17" xfId="0" applyNumberFormat="1" applyBorder="1"/>
    <xf numFmtId="170" fontId="0" fillId="0" borderId="19" xfId="0" applyNumberFormat="1" applyBorder="1"/>
    <xf numFmtId="170" fontId="0" fillId="0" borderId="20" xfId="0" applyNumberFormat="1" applyBorder="1"/>
    <xf numFmtId="170" fontId="0" fillId="0" borderId="18" xfId="0" applyNumberFormat="1" applyBorder="1"/>
    <xf numFmtId="170" fontId="0" fillId="0" borderId="0" xfId="0" applyNumberFormat="1" applyBorder="1"/>
    <xf numFmtId="0" fontId="5" fillId="0" borderId="0" xfId="6" applyFont="1" applyAlignment="1"/>
    <xf numFmtId="167" fontId="5" fillId="0" borderId="0" xfId="6" applyNumberFormat="1" applyFont="1" applyAlignment="1"/>
    <xf numFmtId="0" fontId="15" fillId="0" borderId="0" xfId="6" applyFont="1" applyBorder="1" applyAlignment="1"/>
    <xf numFmtId="168" fontId="5" fillId="0" borderId="0" xfId="6" applyNumberFormat="1" applyFont="1" applyBorder="1" applyAlignment="1"/>
    <xf numFmtId="0" fontId="5" fillId="0" borderId="0" xfId="6" applyFont="1" applyBorder="1" applyAlignment="1"/>
    <xf numFmtId="167" fontId="7" fillId="0" borderId="0" xfId="6" applyNumberFormat="1" applyFont="1" applyAlignment="1"/>
    <xf numFmtId="167" fontId="5" fillId="0" borderId="5" xfId="6" applyNumberFormat="1" applyFont="1" applyBorder="1" applyAlignment="1"/>
    <xf numFmtId="167" fontId="5" fillId="0" borderId="4" xfId="6" applyNumberFormat="1" applyFont="1" applyBorder="1" applyAlignment="1"/>
    <xf numFmtId="167" fontId="5" fillId="0" borderId="12" xfId="6" applyNumberFormat="1" applyFont="1" applyBorder="1" applyAlignment="1"/>
    <xf numFmtId="0" fontId="5" fillId="0" borderId="13" xfId="6" applyFont="1" applyBorder="1" applyAlignment="1"/>
    <xf numFmtId="167" fontId="5" fillId="4" borderId="5" xfId="6" applyNumberFormat="1" applyFont="1" applyFill="1" applyBorder="1" applyAlignment="1"/>
    <xf numFmtId="0" fontId="5" fillId="4" borderId="6" xfId="6" applyFont="1" applyFill="1" applyBorder="1" applyAlignment="1"/>
    <xf numFmtId="0" fontId="5" fillId="0" borderId="0" xfId="6" applyAlignment="1"/>
    <xf numFmtId="0" fontId="16" fillId="0" borderId="0" xfId="6" applyFont="1" applyAlignment="1"/>
    <xf numFmtId="43" fontId="8" fillId="0" borderId="0" xfId="10" applyFont="1" applyFill="1" applyAlignment="1"/>
    <xf numFmtId="0" fontId="10" fillId="0" borderId="0" xfId="7" applyAlignment="1"/>
    <xf numFmtId="0" fontId="8" fillId="0" borderId="0" xfId="6" applyFont="1" applyAlignment="1"/>
    <xf numFmtId="0" fontId="5" fillId="0" borderId="0" xfId="4" applyFont="1" applyAlignment="1"/>
    <xf numFmtId="0" fontId="7" fillId="0" borderId="0" xfId="6" applyFont="1" applyAlignment="1"/>
    <xf numFmtId="0" fontId="5" fillId="4" borderId="7" xfId="6" applyFont="1" applyFill="1" applyBorder="1" applyAlignment="1"/>
    <xf numFmtId="6" fontId="5" fillId="0" borderId="0" xfId="6" applyNumberFormat="1" applyFont="1" applyAlignment="1"/>
    <xf numFmtId="0" fontId="18" fillId="0" borderId="0" xfId="6" applyFont="1" applyAlignment="1">
      <alignment horizontal="center"/>
    </xf>
    <xf numFmtId="2" fontId="19" fillId="0" borderId="19" xfId="0" applyNumberFormat="1" applyFont="1" applyBorder="1"/>
    <xf numFmtId="2" fontId="19" fillId="0" borderId="0" xfId="0" applyNumberFormat="1" applyFont="1"/>
    <xf numFmtId="9" fontId="8" fillId="0" borderId="0" xfId="11" applyFont="1" applyFill="1" applyBorder="1" applyAlignment="1">
      <alignment horizontal="center"/>
    </xf>
    <xf numFmtId="2" fontId="19" fillId="0" borderId="0" xfId="0" applyNumberFormat="1" applyFont="1" applyBorder="1"/>
    <xf numFmtId="2" fontId="19" fillId="0" borderId="0" xfId="0" applyNumberFormat="1" applyFont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2" fontId="19" fillId="0" borderId="0" xfId="0" applyNumberFormat="1" applyFont="1" applyAlignment="1">
      <alignment horizontal="center" vertical="center"/>
    </xf>
    <xf numFmtId="2" fontId="19" fillId="0" borderId="19" xfId="0" applyNumberFormat="1" applyFont="1" applyBorder="1" applyAlignment="1">
      <alignment horizontal="center" vertical="center"/>
    </xf>
    <xf numFmtId="170" fontId="0" fillId="7" borderId="0" xfId="0" applyNumberFormat="1" applyFill="1"/>
    <xf numFmtId="0" fontId="0" fillId="0" borderId="17" xfId="0" applyBorder="1"/>
    <xf numFmtId="0" fontId="0" fillId="0" borderId="19" xfId="0" applyBorder="1"/>
    <xf numFmtId="0" fontId="0" fillId="0" borderId="18" xfId="0" applyBorder="1"/>
    <xf numFmtId="0" fontId="0" fillId="0" borderId="20" xfId="0" applyBorder="1"/>
    <xf numFmtId="2" fontId="19" fillId="0" borderId="20" xfId="0" applyNumberFormat="1" applyFont="1" applyBorder="1" applyAlignment="1">
      <alignment horizontal="center" vertical="center"/>
    </xf>
    <xf numFmtId="2" fontId="0" fillId="0" borderId="0" xfId="0" applyNumberFormat="1"/>
    <xf numFmtId="0" fontId="22" fillId="0" borderId="0" xfId="0" applyFont="1"/>
    <xf numFmtId="0" fontId="22" fillId="0" borderId="0" xfId="0" applyFont="1" applyAlignment="1">
      <alignment horizontal="left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170" fontId="0" fillId="8" borderId="0" xfId="0" applyNumberFormat="1" applyFill="1"/>
    <xf numFmtId="0" fontId="0" fillId="8" borderId="0" xfId="0" applyFill="1"/>
    <xf numFmtId="0" fontId="20" fillId="8" borderId="0" xfId="0" applyFont="1" applyFill="1"/>
    <xf numFmtId="2" fontId="0" fillId="7" borderId="0" xfId="0" applyNumberFormat="1" applyFill="1"/>
    <xf numFmtId="0" fontId="0" fillId="9" borderId="0" xfId="0" applyFill="1"/>
    <xf numFmtId="2" fontId="19" fillId="9" borderId="0" xfId="0" applyNumberFormat="1" applyFont="1" applyFill="1" applyAlignment="1">
      <alignment horizontal="center" vertical="center"/>
    </xf>
    <xf numFmtId="0" fontId="21" fillId="9" borderId="0" xfId="0" applyFont="1" applyFill="1"/>
    <xf numFmtId="2" fontId="19" fillId="0" borderId="0" xfId="0" applyNumberFormat="1" applyFont="1" applyBorder="1" applyAlignment="1">
      <alignment horizontal="center" vertical="center"/>
    </xf>
    <xf numFmtId="2" fontId="19" fillId="0" borderId="0" xfId="0" applyNumberFormat="1" applyFont="1" applyBorder="1" applyAlignment="1">
      <alignment horizontal="center"/>
    </xf>
    <xf numFmtId="2" fontId="19" fillId="0" borderId="17" xfId="0" applyNumberFormat="1" applyFont="1" applyBorder="1"/>
    <xf numFmtId="0" fontId="5" fillId="0" borderId="0" xfId="6" applyFont="1" applyBorder="1" applyAlignment="1">
      <alignment horizontal="left"/>
    </xf>
    <xf numFmtId="0" fontId="5" fillId="0" borderId="13" xfId="6" applyFont="1" applyBorder="1" applyAlignment="1">
      <alignment horizontal="left"/>
    </xf>
    <xf numFmtId="170" fontId="0" fillId="10" borderId="0" xfId="0" applyNumberFormat="1" applyFill="1"/>
    <xf numFmtId="0" fontId="5" fillId="0" borderId="0" xfId="6" applyFont="1" applyBorder="1" applyAlignment="1">
      <alignment horizontal="left" vertical="top"/>
    </xf>
    <xf numFmtId="3" fontId="5" fillId="0" borderId="0" xfId="6" applyNumberFormat="1" applyFont="1" applyBorder="1" applyAlignment="1">
      <alignment horizontal="left"/>
    </xf>
    <xf numFmtId="171" fontId="0" fillId="0" borderId="0" xfId="0" applyNumberFormat="1" applyAlignment="1">
      <alignment horizontal="left" vertical="center"/>
    </xf>
    <xf numFmtId="170" fontId="0" fillId="0" borderId="0" xfId="0" applyNumberFormat="1" applyAlignment="1">
      <alignment horizontal="left" vertical="center"/>
    </xf>
    <xf numFmtId="171" fontId="20" fillId="0" borderId="0" xfId="0" applyNumberFormat="1" applyFont="1" applyAlignment="1">
      <alignment horizontal="left" vertical="center"/>
    </xf>
    <xf numFmtId="170" fontId="20" fillId="0" borderId="0" xfId="0" applyNumberFormat="1" applyFont="1"/>
    <xf numFmtId="0" fontId="24" fillId="0" borderId="0" xfId="12"/>
    <xf numFmtId="0" fontId="24" fillId="0" borderId="0" xfId="12" applyAlignment="1"/>
    <xf numFmtId="0" fontId="24" fillId="0" borderId="0" xfId="12" applyAlignment="1">
      <alignment horizontal="right"/>
    </xf>
    <xf numFmtId="0" fontId="24" fillId="0" borderId="0" xfId="12" applyAlignment="1">
      <alignment horizontal="center"/>
    </xf>
    <xf numFmtId="169" fontId="24" fillId="0" borderId="0" xfId="1" applyNumberFormat="1" applyFont="1"/>
    <xf numFmtId="169" fontId="24" fillId="0" borderId="0" xfId="1" applyNumberFormat="1" applyFont="1" applyAlignment="1"/>
    <xf numFmtId="170" fontId="25" fillId="0" borderId="0" xfId="0" applyNumberFormat="1" applyFont="1"/>
    <xf numFmtId="170" fontId="25" fillId="0" borderId="0" xfId="0" applyNumberFormat="1" applyFont="1" applyAlignment="1">
      <alignment horizontal="right" vertical="center"/>
    </xf>
    <xf numFmtId="170" fontId="25" fillId="0" borderId="0" xfId="0" applyNumberFormat="1" applyFont="1" applyBorder="1" applyAlignment="1">
      <alignment horizontal="right" vertical="center"/>
    </xf>
    <xf numFmtId="170" fontId="25" fillId="0" borderId="0" xfId="0" applyNumberFormat="1" applyFont="1" applyBorder="1"/>
    <xf numFmtId="9" fontId="8" fillId="0" borderId="11" xfId="11" applyFont="1" applyFill="1" applyBorder="1" applyAlignment="1">
      <alignment horizontal="center"/>
    </xf>
    <xf numFmtId="170" fontId="0" fillId="11" borderId="0" xfId="0" applyNumberFormat="1" applyFill="1"/>
    <xf numFmtId="2" fontId="19" fillId="11" borderId="0" xfId="0" applyNumberFormat="1" applyFont="1" applyFill="1" applyAlignment="1">
      <alignment horizontal="center"/>
    </xf>
    <xf numFmtId="170" fontId="0" fillId="11" borderId="0" xfId="0" applyNumberFormat="1" applyFill="1" applyAlignment="1">
      <alignment horizontal="left" vertical="center"/>
    </xf>
    <xf numFmtId="0" fontId="24" fillId="0" borderId="0" xfId="12" applyAlignment="1">
      <alignment horizontal="center"/>
    </xf>
    <xf numFmtId="0" fontId="5" fillId="0" borderId="2" xfId="2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5" fillId="0" borderId="1" xfId="2" applyFont="1" applyFill="1" applyBorder="1" applyAlignment="1">
      <alignment horizontal="right" vertical="center"/>
    </xf>
    <xf numFmtId="0" fontId="5" fillId="0" borderId="2" xfId="2" applyFont="1" applyFill="1" applyBorder="1" applyAlignment="1">
      <alignment horizontal="right" vertical="center"/>
    </xf>
    <xf numFmtId="165" fontId="28" fillId="0" borderId="11" xfId="2" applyNumberFormat="1" applyFont="1" applyFill="1" applyBorder="1" applyAlignment="1">
      <alignment horizontal="center"/>
    </xf>
    <xf numFmtId="169" fontId="5" fillId="0" borderId="11" xfId="1" applyNumberFormat="1" applyFont="1" applyFill="1" applyBorder="1" applyAlignment="1">
      <alignment horizontal="right" vertical="center"/>
    </xf>
    <xf numFmtId="0" fontId="5" fillId="0" borderId="10" xfId="2" applyBorder="1" applyAlignment="1">
      <alignment horizontal="right"/>
    </xf>
    <xf numFmtId="0" fontId="5" fillId="0" borderId="11" xfId="2" applyFont="1" applyFill="1" applyBorder="1" applyAlignment="1">
      <alignment horizontal="right"/>
    </xf>
    <xf numFmtId="1" fontId="5" fillId="0" borderId="11" xfId="2" applyNumberFormat="1" applyFont="1" applyFill="1" applyBorder="1" applyAlignment="1">
      <alignment horizontal="right"/>
    </xf>
    <xf numFmtId="1" fontId="9" fillId="0" borderId="11" xfId="2" applyNumberFormat="1" applyFont="1" applyFill="1" applyBorder="1" applyAlignment="1">
      <alignment horizontal="right"/>
    </xf>
    <xf numFmtId="166" fontId="5" fillId="0" borderId="11" xfId="2" applyNumberFormat="1" applyFont="1" applyFill="1" applyBorder="1" applyAlignment="1">
      <alignment horizontal="right"/>
    </xf>
    <xf numFmtId="0" fontId="5" fillId="0" borderId="11" xfId="2" applyBorder="1" applyAlignment="1">
      <alignment horizontal="right"/>
    </xf>
    <xf numFmtId="0" fontId="10" fillId="0" borderId="11" xfId="2" applyFont="1" applyFill="1" applyBorder="1" applyAlignment="1">
      <alignment horizontal="right"/>
    </xf>
    <xf numFmtId="169" fontId="8" fillId="0" borderId="0" xfId="1" applyNumberFormat="1" applyFont="1" applyFill="1" applyBorder="1" applyAlignment="1">
      <alignment horizontal="right"/>
    </xf>
    <xf numFmtId="1" fontId="8" fillId="0" borderId="0" xfId="1" applyNumberFormat="1" applyFont="1" applyFill="1" applyBorder="1" applyAlignment="1">
      <alignment horizontal="right"/>
    </xf>
    <xf numFmtId="166" fontId="10" fillId="0" borderId="11" xfId="2" applyNumberFormat="1" applyFont="1" applyFill="1" applyBorder="1" applyAlignment="1">
      <alignment horizontal="right"/>
    </xf>
    <xf numFmtId="0" fontId="5" fillId="0" borderId="11" xfId="2" applyFont="1" applyBorder="1" applyAlignment="1">
      <alignment horizontal="right"/>
    </xf>
    <xf numFmtId="169" fontId="5" fillId="0" borderId="11" xfId="1" applyNumberFormat="1" applyFont="1" applyFill="1" applyBorder="1" applyAlignment="1">
      <alignment horizontal="right"/>
    </xf>
    <xf numFmtId="169" fontId="5" fillId="0" borderId="0" xfId="2" applyNumberFormat="1"/>
    <xf numFmtId="3" fontId="5" fillId="0" borderId="11" xfId="2" applyNumberFormat="1" applyFill="1" applyBorder="1" applyAlignment="1">
      <alignment horizontal="center" vertical="center"/>
    </xf>
    <xf numFmtId="169" fontId="8" fillId="0" borderId="11" xfId="1" applyNumberFormat="1" applyFont="1" applyFill="1" applyBorder="1" applyAlignment="1">
      <alignment horizontal="center"/>
    </xf>
    <xf numFmtId="0" fontId="5" fillId="0" borderId="0" xfId="6" applyFont="1" applyAlignment="1">
      <alignment horizontal="left" vertical="top"/>
    </xf>
    <xf numFmtId="0" fontId="5" fillId="0" borderId="6" xfId="6" applyFont="1" applyBorder="1" applyAlignment="1">
      <alignment horizontal="left"/>
    </xf>
    <xf numFmtId="0" fontId="5" fillId="0" borderId="7" xfId="6" applyFont="1" applyBorder="1" applyAlignment="1">
      <alignment horizontal="left"/>
    </xf>
    <xf numFmtId="0" fontId="5" fillId="0" borderId="2" xfId="6" applyFont="1" applyBorder="1" applyAlignment="1">
      <alignment horizontal="left"/>
    </xf>
    <xf numFmtId="0" fontId="5" fillId="0" borderId="3" xfId="6" applyFont="1" applyBorder="1" applyAlignment="1">
      <alignment horizontal="left"/>
    </xf>
    <xf numFmtId="0" fontId="5" fillId="0" borderId="8" xfId="6" applyFont="1" applyBorder="1" applyAlignment="1">
      <alignment horizontal="left"/>
    </xf>
    <xf numFmtId="0" fontId="5" fillId="0" borderId="0" xfId="6" applyFont="1" applyBorder="1" applyAlignment="1">
      <alignment horizontal="left"/>
    </xf>
    <xf numFmtId="0" fontId="5" fillId="4" borderId="6" xfId="6" applyFont="1" applyFill="1" applyBorder="1" applyAlignment="1">
      <alignment horizontal="center"/>
    </xf>
    <xf numFmtId="0" fontId="5" fillId="4" borderId="7" xfId="6" applyFont="1" applyFill="1" applyBorder="1" applyAlignment="1">
      <alignment horizontal="center"/>
    </xf>
    <xf numFmtId="0" fontId="5" fillId="0" borderId="13" xfId="6" applyFont="1" applyBorder="1" applyAlignment="1">
      <alignment horizontal="left"/>
    </xf>
    <xf numFmtId="0" fontId="5" fillId="0" borderId="14" xfId="6" applyFont="1" applyBorder="1" applyAlignment="1">
      <alignment horizontal="left"/>
    </xf>
    <xf numFmtId="164" fontId="5" fillId="3" borderId="6" xfId="2" applyNumberFormat="1" applyFill="1" applyBorder="1" applyAlignment="1">
      <alignment horizontal="center"/>
    </xf>
    <xf numFmtId="164" fontId="5" fillId="3" borderId="7" xfId="2" applyNumberForma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5" fillId="0" borderId="8" xfId="2" applyFont="1" applyFill="1" applyBorder="1" applyAlignment="1">
      <alignment horizontal="left" vertical="center" wrapText="1"/>
    </xf>
    <xf numFmtId="0" fontId="24" fillId="0" borderId="0" xfId="12" applyAlignment="1">
      <alignment horizontal="center"/>
    </xf>
  </cellXfs>
  <cellStyles count="21">
    <cellStyle name="Calc" xfId="4"/>
    <cellStyle name="Comma" xfId="1" builtinId="3"/>
    <cellStyle name="Followed Hyperlink" xfId="14" builtinId="9" hidden="1"/>
    <cellStyle name="Followed Hyperlink" xfId="18" builtinId="9" hidden="1"/>
    <cellStyle name="Followed Hyperlink" xfId="20" builtinId="9" hidden="1"/>
    <cellStyle name="Hyperlink" xfId="13" builtinId="8" hidden="1"/>
    <cellStyle name="Hyperlink" xfId="17" builtinId="8" hidden="1"/>
    <cellStyle name="Hyperlink" xfId="19" builtinId="8" hidden="1"/>
    <cellStyle name="Input 2" xfId="10"/>
    <cellStyle name="Linked" xfId="5"/>
    <cellStyle name="Normal" xfId="0" builtinId="0"/>
    <cellStyle name="Normal 2" xfId="2"/>
    <cellStyle name="Normal 3" xfId="12"/>
    <cellStyle name="Normal_Documentation Template1" xfId="6"/>
    <cellStyle name="Percent" xfId="11" builtinId="5"/>
    <cellStyle name="Percent 2" xfId="3"/>
    <cellStyle name="Percent 3" xfId="15"/>
    <cellStyle name="Percent 4" xfId="16"/>
    <cellStyle name="Placeholder" xfId="7"/>
    <cellStyle name="Temp" xfId="8"/>
    <cellStyle name="Value" xfId="9"/>
  </cellStyles>
  <dxfs count="3">
    <dxf>
      <fill>
        <patternFill>
          <bgColor rgb="FFFF9999"/>
        </patternFill>
      </fill>
    </dxf>
    <dxf>
      <fill>
        <patternFill>
          <bgColor rgb="FFFF9999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Cumulative Distribution Chart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CDF!$B$1</c:f>
              <c:strCache>
                <c:ptCount val="1"/>
                <c:pt idx="0">
                  <c:v>Don't Buy the Dg indicator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CDF!$B$4:$B$11</c:f>
              <c:numCache>
                <c:formatCode>_(* #,##0_);_(* \(#,##0\);_(* "-"??_);_(@_)</c:formatCode>
                <c:ptCount val="8"/>
                <c:pt idx="0">
                  <c:v>-1.75E6</c:v>
                </c:pt>
                <c:pt idx="1">
                  <c:v>-1.75E6</c:v>
                </c:pt>
                <c:pt idx="2">
                  <c:v>-1.75E6</c:v>
                </c:pt>
                <c:pt idx="3">
                  <c:v>-1.75E6</c:v>
                </c:pt>
                <c:pt idx="4">
                  <c:v>-1.25E6</c:v>
                </c:pt>
                <c:pt idx="5">
                  <c:v>-1.25E6</c:v>
                </c:pt>
                <c:pt idx="6">
                  <c:v>3.25E6</c:v>
                </c:pt>
                <c:pt idx="7">
                  <c:v>3.25E6</c:v>
                </c:pt>
              </c:numCache>
            </c:numRef>
          </c:xVal>
          <c:yVal>
            <c:numRef>
              <c:f>CDF!$D$4:$D$11</c:f>
              <c:numCache>
                <c:formatCode>General</c:formatCode>
                <c:ptCount val="8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0.25</c:v>
                </c:pt>
                <c:pt idx="4">
                  <c:v>0.25</c:v>
                </c:pt>
                <c:pt idx="5">
                  <c:v>0.75</c:v>
                </c:pt>
                <c:pt idx="6">
                  <c:v>0.75</c:v>
                </c:pt>
                <c:pt idx="7">
                  <c:v>1.0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CFE-4E43-92B5-9C993B431D3D}"/>
            </c:ext>
          </c:extLst>
        </c:ser>
        <c:ser>
          <c:idx val="1"/>
          <c:order val="1"/>
          <c:tx>
            <c:strRef>
              <c:f>CDF!$B$15</c:f>
              <c:strCache>
                <c:ptCount val="1"/>
                <c:pt idx="0">
                  <c:v>Buy the Dg indicator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CDF!$B$17:$B$30</c:f>
              <c:numCache>
                <c:formatCode>_(* #,##0_);_(* \(#,##0\);_(* "-"??_);_(@_)</c:formatCode>
                <c:ptCount val="14"/>
                <c:pt idx="0">
                  <c:v>-1.7885E6</c:v>
                </c:pt>
                <c:pt idx="1">
                  <c:v>-1.7885E6</c:v>
                </c:pt>
                <c:pt idx="2">
                  <c:v>-1.7885E6</c:v>
                </c:pt>
                <c:pt idx="3">
                  <c:v>-1.7885E6</c:v>
                </c:pt>
                <c:pt idx="4">
                  <c:v>-1.5385E6</c:v>
                </c:pt>
                <c:pt idx="5">
                  <c:v>-1.5385E6</c:v>
                </c:pt>
                <c:pt idx="6">
                  <c:v>-1.5385E6</c:v>
                </c:pt>
                <c:pt idx="7">
                  <c:v>-1.5385E6</c:v>
                </c:pt>
                <c:pt idx="8">
                  <c:v>-1.2885E6</c:v>
                </c:pt>
                <c:pt idx="9">
                  <c:v>-1.2885E6</c:v>
                </c:pt>
                <c:pt idx="10">
                  <c:v>3.2115E6</c:v>
                </c:pt>
                <c:pt idx="11">
                  <c:v>3.2115E6</c:v>
                </c:pt>
                <c:pt idx="12">
                  <c:v>3.4615E6</c:v>
                </c:pt>
                <c:pt idx="13">
                  <c:v>3.4615E6</c:v>
                </c:pt>
              </c:numCache>
            </c:numRef>
          </c:xVal>
          <c:yVal>
            <c:numRef>
              <c:f>CDF!$D$17:$D$30</c:f>
              <c:numCache>
                <c:formatCode>General</c:formatCode>
                <c:ptCount val="1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0.0475</c:v>
                </c:pt>
                <c:pt idx="6">
                  <c:v>0.0475</c:v>
                </c:pt>
                <c:pt idx="7">
                  <c:v>0.2975</c:v>
                </c:pt>
                <c:pt idx="8">
                  <c:v>0.2975</c:v>
                </c:pt>
                <c:pt idx="9">
                  <c:v>0.7975</c:v>
                </c:pt>
                <c:pt idx="10">
                  <c:v>0.7975</c:v>
                </c:pt>
                <c:pt idx="11">
                  <c:v>0.7975</c:v>
                </c:pt>
                <c:pt idx="12">
                  <c:v>0.7975</c:v>
                </c:pt>
                <c:pt idx="13">
                  <c:v>1.0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FE-4E43-92B5-9C993B431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582352"/>
        <c:axId val="209911168"/>
      </c:scatterChart>
      <c:valAx>
        <c:axId val="166582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Profit ($)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911168"/>
        <c:crosses val="autoZero"/>
        <c:crossBetween val="midCat"/>
      </c:valAx>
      <c:valAx>
        <c:axId val="209911168"/>
        <c:scaling>
          <c:orientation val="minMax"/>
          <c:max val="1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Cumulative</a:t>
                </a:r>
                <a:r>
                  <a:rPr lang="en-US" sz="1100" baseline="0"/>
                  <a:t> Probability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0.0109157380231469"/>
              <c:y val="0.3497133772577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82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44" dropStyle="combo" dx="16" fmlaLink="theDecision" fmlaRange="StratNames" noThreeD="1" val="0"/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25400</xdr:colOff>
          <xdr:row>14</xdr:row>
          <xdr:rowOff>152400</xdr:rowOff>
        </xdr:from>
        <xdr:to>
          <xdr:col>5</xdr:col>
          <xdr:colOff>2209800</xdr:colOff>
          <xdr:row>16</xdr:row>
          <xdr:rowOff>127000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14</xdr:row>
      <xdr:rowOff>134936</xdr:rowOff>
    </xdr:from>
    <xdr:to>
      <xdr:col>2</xdr:col>
      <xdr:colOff>130513</xdr:colOff>
      <xdr:row>15</xdr:row>
      <xdr:rowOff>81163</xdr:rowOff>
    </xdr:to>
    <xdr:sp macro="" textlink="">
      <xdr:nvSpPr>
        <xdr:cNvPr id="3" name="Oval 2"/>
        <xdr:cNvSpPr/>
      </xdr:nvSpPr>
      <xdr:spPr>
        <a:xfrm>
          <a:off x="1511300" y="3221036"/>
          <a:ext cx="270213" cy="162127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690033</xdr:colOff>
      <xdr:row>10</xdr:row>
      <xdr:rowOff>139170</xdr:rowOff>
    </xdr:from>
    <xdr:to>
      <xdr:col>4</xdr:col>
      <xdr:colOff>134747</xdr:colOff>
      <xdr:row>11</xdr:row>
      <xdr:rowOff>85397</xdr:rowOff>
    </xdr:to>
    <xdr:sp macro="" textlink="">
      <xdr:nvSpPr>
        <xdr:cNvPr id="4" name="Oval 3"/>
        <xdr:cNvSpPr/>
      </xdr:nvSpPr>
      <xdr:spPr>
        <a:xfrm>
          <a:off x="3314700" y="2391303"/>
          <a:ext cx="274447" cy="16636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690033</xdr:colOff>
      <xdr:row>7</xdr:row>
      <xdr:rowOff>130703</xdr:rowOff>
    </xdr:from>
    <xdr:to>
      <xdr:col>6</xdr:col>
      <xdr:colOff>134746</xdr:colOff>
      <xdr:row>8</xdr:row>
      <xdr:rowOff>76931</xdr:rowOff>
    </xdr:to>
    <xdr:sp macro="" textlink="">
      <xdr:nvSpPr>
        <xdr:cNvPr id="5" name="Oval 4"/>
        <xdr:cNvSpPr/>
      </xdr:nvSpPr>
      <xdr:spPr>
        <a:xfrm>
          <a:off x="4974166" y="1739370"/>
          <a:ext cx="274447" cy="16636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698500</xdr:colOff>
      <xdr:row>13</xdr:row>
      <xdr:rowOff>147637</xdr:rowOff>
    </xdr:from>
    <xdr:to>
      <xdr:col>6</xdr:col>
      <xdr:colOff>143213</xdr:colOff>
      <xdr:row>14</xdr:row>
      <xdr:rowOff>93865</xdr:rowOff>
    </xdr:to>
    <xdr:sp macro="" textlink="">
      <xdr:nvSpPr>
        <xdr:cNvPr id="6" name="Oval 5"/>
        <xdr:cNvSpPr/>
      </xdr:nvSpPr>
      <xdr:spPr>
        <a:xfrm>
          <a:off x="4982633" y="3043237"/>
          <a:ext cx="274447" cy="16636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681567</xdr:colOff>
      <xdr:row>14</xdr:row>
      <xdr:rowOff>151870</xdr:rowOff>
    </xdr:from>
    <xdr:to>
      <xdr:col>11</xdr:col>
      <xdr:colOff>126280</xdr:colOff>
      <xdr:row>15</xdr:row>
      <xdr:rowOff>98097</xdr:rowOff>
    </xdr:to>
    <xdr:sp macro="" textlink="">
      <xdr:nvSpPr>
        <xdr:cNvPr id="7" name="Oval 6"/>
        <xdr:cNvSpPr/>
      </xdr:nvSpPr>
      <xdr:spPr>
        <a:xfrm>
          <a:off x="10071100" y="3267603"/>
          <a:ext cx="274447" cy="16636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685801</xdr:colOff>
      <xdr:row>10</xdr:row>
      <xdr:rowOff>139171</xdr:rowOff>
    </xdr:from>
    <xdr:to>
      <xdr:col>13</xdr:col>
      <xdr:colOff>130515</xdr:colOff>
      <xdr:row>11</xdr:row>
      <xdr:rowOff>85398</xdr:rowOff>
    </xdr:to>
    <xdr:sp macro="" textlink="">
      <xdr:nvSpPr>
        <xdr:cNvPr id="8" name="Oval 7"/>
        <xdr:cNvSpPr/>
      </xdr:nvSpPr>
      <xdr:spPr>
        <a:xfrm>
          <a:off x="11734801" y="2391304"/>
          <a:ext cx="274447" cy="16636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685800</xdr:colOff>
      <xdr:row>7</xdr:row>
      <xdr:rowOff>130704</xdr:rowOff>
    </xdr:from>
    <xdr:to>
      <xdr:col>15</xdr:col>
      <xdr:colOff>130514</xdr:colOff>
      <xdr:row>8</xdr:row>
      <xdr:rowOff>76932</xdr:rowOff>
    </xdr:to>
    <xdr:sp macro="" textlink="">
      <xdr:nvSpPr>
        <xdr:cNvPr id="9" name="Oval 8"/>
        <xdr:cNvSpPr/>
      </xdr:nvSpPr>
      <xdr:spPr>
        <a:xfrm>
          <a:off x="13394267" y="1739371"/>
          <a:ext cx="274447" cy="16636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694267</xdr:colOff>
      <xdr:row>13</xdr:row>
      <xdr:rowOff>147638</xdr:rowOff>
    </xdr:from>
    <xdr:to>
      <xdr:col>15</xdr:col>
      <xdr:colOff>138981</xdr:colOff>
      <xdr:row>14</xdr:row>
      <xdr:rowOff>93866</xdr:rowOff>
    </xdr:to>
    <xdr:sp macro="" textlink="">
      <xdr:nvSpPr>
        <xdr:cNvPr id="10" name="Oval 9"/>
        <xdr:cNvSpPr/>
      </xdr:nvSpPr>
      <xdr:spPr>
        <a:xfrm>
          <a:off x="13402734" y="3043238"/>
          <a:ext cx="274447" cy="16636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651047</xdr:colOff>
      <xdr:row>10</xdr:row>
      <xdr:rowOff>122498</xdr:rowOff>
    </xdr:from>
    <xdr:to>
      <xdr:col>8</xdr:col>
      <xdr:colOff>3562</xdr:colOff>
      <xdr:row>11</xdr:row>
      <xdr:rowOff>84459</xdr:rowOff>
    </xdr:to>
    <xdr:sp macro="" textlink="">
      <xdr:nvSpPr>
        <xdr:cNvPr id="3" name="Rectangle 2"/>
        <xdr:cNvSpPr/>
      </xdr:nvSpPr>
      <xdr:spPr>
        <a:xfrm>
          <a:off x="5057947" y="2217998"/>
          <a:ext cx="178015" cy="177861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652514</xdr:colOff>
      <xdr:row>21</xdr:row>
      <xdr:rowOff>124856</xdr:rowOff>
    </xdr:from>
    <xdr:to>
      <xdr:col>8</xdr:col>
      <xdr:colOff>5029</xdr:colOff>
      <xdr:row>22</xdr:row>
      <xdr:rowOff>86817</xdr:rowOff>
    </xdr:to>
    <xdr:sp macro="" textlink="">
      <xdr:nvSpPr>
        <xdr:cNvPr id="4" name="Rectangle 3"/>
        <xdr:cNvSpPr/>
      </xdr:nvSpPr>
      <xdr:spPr>
        <a:xfrm>
          <a:off x="5059414" y="4582556"/>
          <a:ext cx="178015" cy="177861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1070570</xdr:colOff>
      <xdr:row>17</xdr:row>
      <xdr:rowOff>138785</xdr:rowOff>
    </xdr:from>
    <xdr:to>
      <xdr:col>10</xdr:col>
      <xdr:colOff>122934</xdr:colOff>
      <xdr:row>18</xdr:row>
      <xdr:rowOff>74581</xdr:rowOff>
    </xdr:to>
    <xdr:sp macro="" textlink="">
      <xdr:nvSpPr>
        <xdr:cNvPr id="9" name="Oval 8"/>
        <xdr:cNvSpPr/>
      </xdr:nvSpPr>
      <xdr:spPr>
        <a:xfrm>
          <a:off x="6617930" y="3684625"/>
          <a:ext cx="271564" cy="14915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1085274</xdr:colOff>
      <xdr:row>29</xdr:row>
      <xdr:rowOff>144191</xdr:rowOff>
    </xdr:from>
    <xdr:to>
      <xdr:col>10</xdr:col>
      <xdr:colOff>137638</xdr:colOff>
      <xdr:row>30</xdr:row>
      <xdr:rowOff>77360</xdr:rowOff>
    </xdr:to>
    <xdr:sp macro="" textlink="">
      <xdr:nvSpPr>
        <xdr:cNvPr id="13" name="Oval 12"/>
        <xdr:cNvSpPr/>
      </xdr:nvSpPr>
      <xdr:spPr>
        <a:xfrm>
          <a:off x="7137797" y="7535362"/>
          <a:ext cx="276598" cy="150557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697802</xdr:colOff>
      <xdr:row>5</xdr:row>
      <xdr:rowOff>132495</xdr:rowOff>
    </xdr:from>
    <xdr:to>
      <xdr:col>12</xdr:col>
      <xdr:colOff>140935</xdr:colOff>
      <xdr:row>6</xdr:row>
      <xdr:rowOff>78452</xdr:rowOff>
    </xdr:to>
    <xdr:sp macro="" textlink="">
      <xdr:nvSpPr>
        <xdr:cNvPr id="15" name="Oval 14"/>
        <xdr:cNvSpPr/>
      </xdr:nvSpPr>
      <xdr:spPr>
        <a:xfrm>
          <a:off x="8498033" y="1155201"/>
          <a:ext cx="268843" cy="16391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681869</xdr:colOff>
      <xdr:row>15</xdr:row>
      <xdr:rowOff>133422</xdr:rowOff>
    </xdr:from>
    <xdr:to>
      <xdr:col>12</xdr:col>
      <xdr:colOff>125002</xdr:colOff>
      <xdr:row>16</xdr:row>
      <xdr:rowOff>57879</xdr:rowOff>
    </xdr:to>
    <xdr:sp macro="" textlink="">
      <xdr:nvSpPr>
        <xdr:cNvPr id="16" name="Oval 15"/>
        <xdr:cNvSpPr/>
      </xdr:nvSpPr>
      <xdr:spPr>
        <a:xfrm>
          <a:off x="8800798" y="3285743"/>
          <a:ext cx="270900" cy="139904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702459</xdr:colOff>
      <xdr:row>27</xdr:row>
      <xdr:rowOff>143154</xdr:rowOff>
    </xdr:from>
    <xdr:to>
      <xdr:col>12</xdr:col>
      <xdr:colOff>145592</xdr:colOff>
      <xdr:row>28</xdr:row>
      <xdr:rowOff>66230</xdr:rowOff>
    </xdr:to>
    <xdr:sp macro="" textlink="">
      <xdr:nvSpPr>
        <xdr:cNvPr id="20" name="Oval 19"/>
        <xdr:cNvSpPr/>
      </xdr:nvSpPr>
      <xdr:spPr>
        <a:xfrm>
          <a:off x="8803000" y="7110992"/>
          <a:ext cx="266916" cy="140463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650405</xdr:colOff>
      <xdr:row>33</xdr:row>
      <xdr:rowOff>129269</xdr:rowOff>
    </xdr:from>
    <xdr:to>
      <xdr:col>8</xdr:col>
      <xdr:colOff>2920</xdr:colOff>
      <xdr:row>34</xdr:row>
      <xdr:rowOff>91230</xdr:rowOff>
    </xdr:to>
    <xdr:sp macro="" textlink="">
      <xdr:nvSpPr>
        <xdr:cNvPr id="24" name="Rectangle 23"/>
        <xdr:cNvSpPr/>
      </xdr:nvSpPr>
      <xdr:spPr>
        <a:xfrm>
          <a:off x="4597272" y="7068116"/>
          <a:ext cx="176901" cy="178402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1087108</xdr:colOff>
      <xdr:row>8</xdr:row>
      <xdr:rowOff>135994</xdr:rowOff>
    </xdr:from>
    <xdr:to>
      <xdr:col>10</xdr:col>
      <xdr:colOff>134001</xdr:colOff>
      <xdr:row>9</xdr:row>
      <xdr:rowOff>81951</xdr:rowOff>
    </xdr:to>
    <xdr:sp macro="" textlink="">
      <xdr:nvSpPr>
        <xdr:cNvPr id="14" name="Oval 13"/>
        <xdr:cNvSpPr/>
      </xdr:nvSpPr>
      <xdr:spPr>
        <a:xfrm>
          <a:off x="6635340" y="1790842"/>
          <a:ext cx="265580" cy="16083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544139</xdr:colOff>
      <xdr:row>27</xdr:row>
      <xdr:rowOff>144692</xdr:rowOff>
    </xdr:from>
    <xdr:to>
      <xdr:col>6</xdr:col>
      <xdr:colOff>130494</xdr:colOff>
      <xdr:row>28</xdr:row>
      <xdr:rowOff>80488</xdr:rowOff>
    </xdr:to>
    <xdr:sp macro="" textlink="">
      <xdr:nvSpPr>
        <xdr:cNvPr id="17" name="Oval 16"/>
        <xdr:cNvSpPr/>
      </xdr:nvSpPr>
      <xdr:spPr>
        <a:xfrm>
          <a:off x="4726279" y="5815390"/>
          <a:ext cx="271564" cy="154354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646902</xdr:colOff>
      <xdr:row>23</xdr:row>
      <xdr:rowOff>128694</xdr:rowOff>
    </xdr:from>
    <xdr:to>
      <xdr:col>3</xdr:col>
      <xdr:colOff>826393</xdr:colOff>
      <xdr:row>24</xdr:row>
      <xdr:rowOff>90655</xdr:rowOff>
    </xdr:to>
    <xdr:sp macro="" textlink="">
      <xdr:nvSpPr>
        <xdr:cNvPr id="18" name="Rectangle 17"/>
        <xdr:cNvSpPr/>
      </xdr:nvSpPr>
      <xdr:spPr>
        <a:xfrm>
          <a:off x="2897460" y="4960601"/>
          <a:ext cx="179491" cy="180519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192681</xdr:colOff>
      <xdr:row>0</xdr:row>
      <xdr:rowOff>184348</xdr:rowOff>
    </xdr:from>
    <xdr:to>
      <xdr:col>17</xdr:col>
      <xdr:colOff>153589</xdr:colOff>
      <xdr:row>31</xdr:row>
      <xdr:rowOff>22281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81DA16B5-1997-46F1-8C37-7B7A16D2EF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dulazizalmansour/Downloads/Others/DAII/cases/Spreadsheet/Decision%20Model%20Template%20v07.1m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Inputs"/>
      <sheetName val="Series Inputs"/>
      <sheetName val="Calculations"/>
    </sheetNames>
    <sheetDataSet>
      <sheetData sheetId="0" refreshError="1"/>
      <sheetData sheetId="1">
        <row r="17">
          <cell r="J17">
            <v>1</v>
          </cell>
        </row>
        <row r="19">
          <cell r="H19" t="str">
            <v>Alternative One</v>
          </cell>
        </row>
        <row r="20">
          <cell r="H20" t="str">
            <v>Alternative Two</v>
          </cell>
        </row>
        <row r="21">
          <cell r="H21" t="str">
            <v>Alternative Three</v>
          </cell>
        </row>
        <row r="30">
          <cell r="I30">
            <v>10</v>
          </cell>
          <cell r="J30">
            <v>20</v>
          </cell>
          <cell r="K30">
            <v>30</v>
          </cell>
        </row>
        <row r="47">
          <cell r="H47">
            <v>2013</v>
          </cell>
        </row>
        <row r="48">
          <cell r="H48">
            <v>1</v>
          </cell>
        </row>
        <row r="56">
          <cell r="H56">
            <v>2</v>
          </cell>
        </row>
        <row r="59">
          <cell r="H59">
            <v>2</v>
          </cell>
        </row>
        <row r="64">
          <cell r="K64">
            <v>10</v>
          </cell>
          <cell r="L64">
            <v>15</v>
          </cell>
          <cell r="M64">
            <v>22</v>
          </cell>
        </row>
        <row r="65">
          <cell r="K65">
            <v>14</v>
          </cell>
          <cell r="L65">
            <v>17</v>
          </cell>
          <cell r="M65">
            <v>25</v>
          </cell>
        </row>
        <row r="66">
          <cell r="K66">
            <v>21</v>
          </cell>
          <cell r="L66">
            <v>25</v>
          </cell>
          <cell r="M66">
            <v>28</v>
          </cell>
        </row>
      </sheetData>
      <sheetData sheetId="2">
        <row r="16">
          <cell r="H16">
            <v>10</v>
          </cell>
          <cell r="I16">
            <v>20</v>
          </cell>
          <cell r="J16">
            <v>30</v>
          </cell>
          <cell r="K16">
            <v>40</v>
          </cell>
          <cell r="L16">
            <v>50</v>
          </cell>
          <cell r="M16">
            <v>60</v>
          </cell>
          <cell r="N16">
            <v>70</v>
          </cell>
          <cell r="O16">
            <v>80</v>
          </cell>
          <cell r="P16">
            <v>90</v>
          </cell>
          <cell r="Q16">
            <v>140</v>
          </cell>
          <cell r="R16">
            <v>150</v>
          </cell>
          <cell r="S16">
            <v>160</v>
          </cell>
          <cell r="T16">
            <v>170</v>
          </cell>
          <cell r="U16">
            <v>180</v>
          </cell>
          <cell r="V16">
            <v>190</v>
          </cell>
          <cell r="W16">
            <v>200</v>
          </cell>
        </row>
        <row r="17">
          <cell r="H17">
            <v>20</v>
          </cell>
          <cell r="I17">
            <v>40</v>
          </cell>
          <cell r="J17">
            <v>60</v>
          </cell>
          <cell r="K17">
            <v>80</v>
          </cell>
          <cell r="L17">
            <v>100</v>
          </cell>
          <cell r="M17">
            <v>120</v>
          </cell>
          <cell r="N17">
            <v>140</v>
          </cell>
          <cell r="O17">
            <v>160</v>
          </cell>
          <cell r="P17">
            <v>180</v>
          </cell>
          <cell r="Q17">
            <v>280</v>
          </cell>
          <cell r="R17">
            <v>300</v>
          </cell>
          <cell r="S17">
            <v>320</v>
          </cell>
          <cell r="T17">
            <v>340</v>
          </cell>
          <cell r="U17">
            <v>360</v>
          </cell>
          <cell r="V17">
            <v>380</v>
          </cell>
          <cell r="W17">
            <v>400</v>
          </cell>
        </row>
        <row r="18">
          <cell r="H18">
            <v>30</v>
          </cell>
          <cell r="I18">
            <v>60</v>
          </cell>
          <cell r="J18">
            <v>90</v>
          </cell>
          <cell r="K18">
            <v>120</v>
          </cell>
          <cell r="L18">
            <v>150</v>
          </cell>
          <cell r="M18">
            <v>180</v>
          </cell>
          <cell r="N18">
            <v>210</v>
          </cell>
          <cell r="O18">
            <v>240</v>
          </cell>
          <cell r="P18">
            <v>270</v>
          </cell>
          <cell r="Q18">
            <v>420</v>
          </cell>
          <cell r="R18">
            <v>450</v>
          </cell>
          <cell r="S18">
            <v>480</v>
          </cell>
          <cell r="T18">
            <v>510</v>
          </cell>
          <cell r="U18">
            <v>540</v>
          </cell>
          <cell r="V18">
            <v>570</v>
          </cell>
          <cell r="W18">
            <v>600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outlinePr summaryBelow="0"/>
    <pageSetUpPr fitToPage="1"/>
  </sheetPr>
  <dimension ref="A1:V73"/>
  <sheetViews>
    <sheetView showGridLines="0" zoomScale="138" workbookViewId="0">
      <selection activeCell="C10" sqref="C10"/>
    </sheetView>
  </sheetViews>
  <sheetFormatPr baseColWidth="10" defaultColWidth="10.1640625" defaultRowHeight="13" outlineLevelRow="1" x14ac:dyDescent="0.15"/>
  <cols>
    <col min="1" max="1" width="16.6640625" style="131" customWidth="1"/>
    <col min="2" max="2" width="10.6640625" style="130" customWidth="1"/>
    <col min="3" max="3" width="10.1640625" style="130" customWidth="1"/>
    <col min="4" max="4" width="11.6640625" style="130" customWidth="1"/>
    <col min="5" max="5" width="10.1640625" style="130" customWidth="1"/>
    <col min="6" max="16384" width="10.1640625" style="130"/>
  </cols>
  <sheetData>
    <row r="1" spans="1:22" ht="13" customHeight="1" x14ac:dyDescent="0.15">
      <c r="I1" s="132"/>
      <c r="J1" s="133"/>
      <c r="K1" s="133"/>
      <c r="L1" s="134"/>
      <c r="M1" s="134"/>
      <c r="N1" s="134"/>
    </row>
    <row r="2" spans="1:22" ht="13" customHeight="1" x14ac:dyDescent="0.15">
      <c r="A2" s="135" t="s">
        <v>36</v>
      </c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</row>
    <row r="3" spans="1:22" s="134" customFormat="1" ht="13" customHeight="1" outlineLevel="1" x14ac:dyDescent="0.15">
      <c r="A3" s="136" t="s">
        <v>37</v>
      </c>
      <c r="B3" s="98" t="s">
        <v>38</v>
      </c>
      <c r="C3" s="98" t="s">
        <v>39</v>
      </c>
      <c r="D3" s="98" t="s">
        <v>74</v>
      </c>
      <c r="E3" s="228" t="s">
        <v>40</v>
      </c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9"/>
    </row>
    <row r="4" spans="1:22" ht="13" customHeight="1" outlineLevel="1" x14ac:dyDescent="0.15">
      <c r="A4" s="99"/>
      <c r="B4" s="100"/>
      <c r="C4" s="101"/>
      <c r="D4" s="184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1"/>
    </row>
    <row r="5" spans="1:22" ht="13" customHeight="1" outlineLevel="1" x14ac:dyDescent="0.15">
      <c r="A5" s="137"/>
      <c r="B5" s="102"/>
      <c r="C5" s="134"/>
      <c r="D5" s="181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</row>
    <row r="6" spans="1:22" ht="13" customHeight="1" outlineLevel="1" x14ac:dyDescent="0.15">
      <c r="A6" s="137"/>
      <c r="B6" s="102"/>
      <c r="C6" s="134"/>
      <c r="D6" s="181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2"/>
    </row>
    <row r="7" spans="1:22" ht="13" customHeight="1" outlineLevel="1" x14ac:dyDescent="0.15">
      <c r="A7" s="137"/>
      <c r="B7" s="102"/>
      <c r="C7" s="134"/>
      <c r="D7" s="181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</row>
    <row r="8" spans="1:22" ht="13" customHeight="1" outlineLevel="1" x14ac:dyDescent="0.15">
      <c r="A8" s="137"/>
      <c r="B8" s="102"/>
      <c r="C8" s="134"/>
      <c r="D8" s="185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</row>
    <row r="9" spans="1:22" ht="13" customHeight="1" outlineLevel="1" x14ac:dyDescent="0.15">
      <c r="A9" s="137"/>
      <c r="B9" s="100"/>
      <c r="C9" s="134"/>
      <c r="D9" s="185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</row>
    <row r="10" spans="1:22" ht="13" customHeight="1" outlineLevel="1" x14ac:dyDescent="0.15">
      <c r="A10" s="137"/>
      <c r="B10" s="100"/>
      <c r="C10" s="134"/>
      <c r="D10" s="185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</row>
    <row r="11" spans="1:22" ht="13" customHeight="1" outlineLevel="1" x14ac:dyDescent="0.15">
      <c r="A11" s="137"/>
      <c r="B11" s="102"/>
      <c r="C11" s="134"/>
      <c r="D11" s="181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</row>
    <row r="12" spans="1:22" ht="13" customHeight="1" outlineLevel="1" x14ac:dyDescent="0.15">
      <c r="A12" s="137"/>
      <c r="B12" s="102"/>
      <c r="C12" s="134"/>
      <c r="D12" s="181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</row>
    <row r="13" spans="1:22" ht="13" customHeight="1" outlineLevel="1" x14ac:dyDescent="0.15">
      <c r="A13" s="137"/>
      <c r="B13" s="102"/>
      <c r="C13" s="134"/>
      <c r="D13" s="181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</row>
    <row r="14" spans="1:22" s="134" customFormat="1" ht="13" customHeight="1" outlineLevel="1" x14ac:dyDescent="0.15">
      <c r="A14" s="138"/>
      <c r="B14" s="103"/>
      <c r="C14" s="139"/>
      <c r="D14" s="182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7"/>
    </row>
    <row r="15" spans="1:22" ht="13" customHeight="1" outlineLevel="1" x14ac:dyDescent="0.15">
      <c r="A15" s="140"/>
      <c r="B15" s="141"/>
      <c r="C15" s="141"/>
      <c r="D15" s="141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5"/>
    </row>
    <row r="16" spans="1:22" ht="13" customHeight="1" x14ac:dyDescent="0.15">
      <c r="I16" s="132"/>
      <c r="J16" s="133"/>
      <c r="K16" s="133"/>
      <c r="L16" s="134"/>
      <c r="M16" s="134"/>
      <c r="N16" s="134"/>
    </row>
    <row r="17" spans="1:22" ht="13" customHeight="1" x14ac:dyDescent="0.15">
      <c r="A17" s="135" t="s">
        <v>41</v>
      </c>
      <c r="B17" s="142"/>
      <c r="D17" s="143" t="s">
        <v>42</v>
      </c>
      <c r="E17" s="143" t="s">
        <v>43</v>
      </c>
      <c r="I17" s="132"/>
      <c r="J17" s="133"/>
      <c r="K17" s="133"/>
      <c r="L17" s="134"/>
      <c r="M17" s="134"/>
      <c r="N17" s="134"/>
    </row>
    <row r="18" spans="1:22" ht="13" customHeight="1" outlineLevel="1" x14ac:dyDescent="0.15">
      <c r="A18" s="135"/>
      <c r="B18" s="142"/>
      <c r="D18" s="104">
        <v>1.234</v>
      </c>
      <c r="E18" s="144" t="s">
        <v>44</v>
      </c>
      <c r="I18" s="132"/>
      <c r="J18" s="133"/>
      <c r="K18" s="133"/>
      <c r="L18" s="134"/>
      <c r="M18" s="134"/>
      <c r="N18" s="134"/>
    </row>
    <row r="19" spans="1:22" ht="13" customHeight="1" outlineLevel="1" x14ac:dyDescent="0.15">
      <c r="A19" s="135"/>
      <c r="B19" s="142"/>
      <c r="D19" s="105">
        <v>1.234</v>
      </c>
      <c r="E19" s="145" t="s">
        <v>45</v>
      </c>
      <c r="I19" s="132"/>
      <c r="J19" s="133"/>
      <c r="K19" s="133"/>
      <c r="L19" s="134"/>
      <c r="M19" s="134"/>
      <c r="N19" s="134"/>
    </row>
    <row r="20" spans="1:22" ht="13" customHeight="1" outlineLevel="1" x14ac:dyDescent="0.15">
      <c r="C20" s="146"/>
      <c r="D20" s="106">
        <v>1.234</v>
      </c>
      <c r="E20" s="147" t="s">
        <v>46</v>
      </c>
      <c r="I20" s="132"/>
      <c r="J20" s="133"/>
      <c r="K20" s="133"/>
      <c r="L20" s="134"/>
      <c r="M20" s="134"/>
      <c r="N20" s="134"/>
    </row>
    <row r="21" spans="1:22" ht="13" customHeight="1" x14ac:dyDescent="0.15">
      <c r="D21" s="151">
        <v>0.5</v>
      </c>
      <c r="E21" s="130" t="s">
        <v>99</v>
      </c>
      <c r="I21" s="132"/>
      <c r="J21" s="133"/>
      <c r="K21" s="133"/>
      <c r="L21" s="134"/>
      <c r="M21" s="134"/>
      <c r="N21" s="134"/>
    </row>
    <row r="22" spans="1:22" ht="13" customHeight="1" x14ac:dyDescent="0.15">
      <c r="A22" s="135" t="s">
        <v>47</v>
      </c>
      <c r="I22" s="132"/>
      <c r="J22" s="133"/>
      <c r="K22" s="133"/>
      <c r="L22" s="134"/>
      <c r="M22" s="134"/>
      <c r="N22" s="134"/>
    </row>
    <row r="23" spans="1:22" ht="13" customHeight="1" outlineLevel="1" x14ac:dyDescent="0.15">
      <c r="B23" s="148" t="s">
        <v>48</v>
      </c>
      <c r="I23" s="132"/>
      <c r="J23" s="133"/>
      <c r="K23" s="133"/>
      <c r="L23" s="134"/>
      <c r="M23" s="134"/>
      <c r="N23" s="134"/>
    </row>
    <row r="24" spans="1:22" ht="13" customHeight="1" outlineLevel="1" x14ac:dyDescent="0.15">
      <c r="B24" s="148"/>
      <c r="C24" s="130" t="s">
        <v>49</v>
      </c>
      <c r="I24" s="132"/>
      <c r="J24" s="133"/>
      <c r="K24" s="133"/>
      <c r="L24" s="134"/>
      <c r="M24" s="134"/>
      <c r="N24" s="134"/>
    </row>
    <row r="25" spans="1:22" ht="13" customHeight="1" outlineLevel="1" x14ac:dyDescent="0.15">
      <c r="B25" s="148"/>
      <c r="C25" s="130" t="s">
        <v>50</v>
      </c>
      <c r="I25" s="132"/>
      <c r="J25" s="133"/>
      <c r="K25" s="133"/>
      <c r="L25" s="134"/>
      <c r="M25" s="134"/>
      <c r="N25" s="134"/>
    </row>
    <row r="26" spans="1:22" ht="13" customHeight="1" outlineLevel="1" x14ac:dyDescent="0.15">
      <c r="B26" s="148"/>
      <c r="I26" s="132"/>
      <c r="J26" s="133"/>
      <c r="K26" s="133"/>
      <c r="L26" s="134"/>
      <c r="M26" s="134"/>
      <c r="N26" s="134"/>
    </row>
    <row r="27" spans="1:22" ht="13" customHeight="1" x14ac:dyDescent="0.15"/>
    <row r="28" spans="1:22" ht="13" customHeight="1" x14ac:dyDescent="0.15">
      <c r="A28" s="107" t="s">
        <v>51</v>
      </c>
      <c r="B28" s="108"/>
      <c r="C28" s="108"/>
      <c r="D28" s="108"/>
      <c r="E28" s="108"/>
    </row>
    <row r="29" spans="1:22" ht="13" customHeight="1" outlineLevel="1" x14ac:dyDescent="0.15">
      <c r="A29" s="109" t="s">
        <v>52</v>
      </c>
      <c r="B29" s="108"/>
      <c r="C29" s="108"/>
      <c r="D29" s="108"/>
      <c r="E29" s="108"/>
    </row>
    <row r="30" spans="1:22" ht="13" customHeight="1" outlineLevel="1" x14ac:dyDescent="0.15">
      <c r="A30" s="109"/>
      <c r="B30" s="110" t="s">
        <v>48</v>
      </c>
      <c r="C30" s="108" t="s">
        <v>53</v>
      </c>
      <c r="D30" s="108"/>
      <c r="E30" s="227" t="s">
        <v>54</v>
      </c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</row>
    <row r="31" spans="1:22" ht="13" customHeight="1" outlineLevel="1" x14ac:dyDescent="0.15">
      <c r="A31" s="109"/>
      <c r="B31" s="108"/>
      <c r="C31" s="108" t="s">
        <v>55</v>
      </c>
      <c r="D31" s="108"/>
      <c r="E31" s="227" t="s">
        <v>56</v>
      </c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</row>
    <row r="32" spans="1:22" ht="13" customHeight="1" outlineLevel="1" x14ac:dyDescent="0.15">
      <c r="A32" s="108"/>
      <c r="C32" s="108" t="s">
        <v>57</v>
      </c>
      <c r="D32" s="108"/>
      <c r="E32" s="108" t="s">
        <v>58</v>
      </c>
    </row>
    <row r="33" spans="1:14" ht="13" customHeight="1" outlineLevel="1" x14ac:dyDescent="0.15">
      <c r="A33" s="109"/>
      <c r="B33" s="110"/>
      <c r="C33" s="108" t="s">
        <v>59</v>
      </c>
      <c r="D33" s="108"/>
      <c r="E33" s="108" t="s">
        <v>60</v>
      </c>
    </row>
    <row r="34" spans="1:14" ht="13" customHeight="1" outlineLevel="1" x14ac:dyDescent="0.15">
      <c r="A34" s="109"/>
      <c r="B34" s="108"/>
      <c r="C34" s="108" t="s">
        <v>61</v>
      </c>
      <c r="D34" s="108"/>
      <c r="E34" s="108" t="s">
        <v>62</v>
      </c>
    </row>
    <row r="35" spans="1:14" ht="13" customHeight="1" outlineLevel="1" x14ac:dyDescent="0.15">
      <c r="A35" s="109"/>
      <c r="B35" s="108"/>
      <c r="C35" s="108"/>
      <c r="D35" s="108"/>
      <c r="E35" s="108"/>
    </row>
    <row r="36" spans="1:14" outlineLevel="1" x14ac:dyDescent="0.15">
      <c r="A36" s="140"/>
      <c r="B36" s="141"/>
      <c r="C36" s="141"/>
      <c r="D36" s="141"/>
      <c r="E36" s="149"/>
      <c r="I36" s="132"/>
      <c r="J36" s="133"/>
      <c r="K36" s="133"/>
      <c r="L36" s="134"/>
      <c r="M36" s="134"/>
      <c r="N36" s="134"/>
    </row>
    <row r="38" spans="1:14" x14ac:dyDescent="0.15">
      <c r="A38" s="135" t="s">
        <v>75</v>
      </c>
    </row>
    <row r="40" spans="1:14" x14ac:dyDescent="0.15">
      <c r="A40" s="148" t="s">
        <v>76</v>
      </c>
    </row>
    <row r="41" spans="1:14" x14ac:dyDescent="0.15">
      <c r="A41" s="131" t="s">
        <v>77</v>
      </c>
    </row>
    <row r="43" spans="1:14" x14ac:dyDescent="0.15">
      <c r="B43" s="130" t="s">
        <v>78</v>
      </c>
    </row>
    <row r="44" spans="1:14" x14ac:dyDescent="0.15">
      <c r="C44" s="130" t="s">
        <v>79</v>
      </c>
      <c r="E44" s="150">
        <v>10000</v>
      </c>
    </row>
    <row r="45" spans="1:14" x14ac:dyDescent="0.15">
      <c r="C45" s="130" t="s">
        <v>138</v>
      </c>
      <c r="E45" s="150">
        <v>500</v>
      </c>
    </row>
    <row r="46" spans="1:14" x14ac:dyDescent="0.15">
      <c r="C46" s="130" t="s">
        <v>80</v>
      </c>
      <c r="E46" s="150">
        <v>2500</v>
      </c>
    </row>
    <row r="48" spans="1:14" x14ac:dyDescent="0.15">
      <c r="B48" s="130" t="s">
        <v>81</v>
      </c>
    </row>
    <row r="49" spans="1:5" x14ac:dyDescent="0.15">
      <c r="C49" s="130" t="s">
        <v>82</v>
      </c>
      <c r="E49" s="150">
        <v>2500</v>
      </c>
    </row>
    <row r="50" spans="1:5" x14ac:dyDescent="0.15">
      <c r="C50" s="130" t="s">
        <v>83</v>
      </c>
      <c r="E50" s="150">
        <v>5000</v>
      </c>
    </row>
    <row r="51" spans="1:5" x14ac:dyDescent="0.15">
      <c r="C51" s="130" t="s">
        <v>139</v>
      </c>
      <c r="E51" s="150">
        <v>1000</v>
      </c>
    </row>
    <row r="52" spans="1:5" x14ac:dyDescent="0.15">
      <c r="E52" s="150"/>
    </row>
    <row r="53" spans="1:5" x14ac:dyDescent="0.15">
      <c r="A53" s="148" t="s">
        <v>148</v>
      </c>
      <c r="E53" s="150"/>
    </row>
    <row r="54" spans="1:5" x14ac:dyDescent="0.15">
      <c r="A54" s="148"/>
      <c r="C54" s="150">
        <v>200</v>
      </c>
      <c r="E54" s="150" t="s">
        <v>147</v>
      </c>
    </row>
    <row r="55" spans="1:5" x14ac:dyDescent="0.15">
      <c r="A55" s="148"/>
      <c r="E55" s="150"/>
    </row>
    <row r="57" spans="1:5" x14ac:dyDescent="0.15">
      <c r="A57" s="131" t="s">
        <v>84</v>
      </c>
    </row>
    <row r="58" spans="1:5" x14ac:dyDescent="0.15">
      <c r="B58" s="130" t="s">
        <v>86</v>
      </c>
      <c r="C58" s="130" t="s">
        <v>87</v>
      </c>
    </row>
    <row r="59" spans="1:5" x14ac:dyDescent="0.15">
      <c r="B59" s="130" t="s">
        <v>88</v>
      </c>
      <c r="C59" s="130" t="s">
        <v>85</v>
      </c>
    </row>
    <row r="60" spans="1:5" x14ac:dyDescent="0.15">
      <c r="B60" s="130" t="s">
        <v>89</v>
      </c>
      <c r="C60" s="130" t="s">
        <v>90</v>
      </c>
    </row>
    <row r="63" spans="1:5" x14ac:dyDescent="0.15">
      <c r="A63" s="135" t="s">
        <v>91</v>
      </c>
    </row>
    <row r="65" spans="1:3" x14ac:dyDescent="0.15">
      <c r="B65" s="130" t="s">
        <v>130</v>
      </c>
    </row>
    <row r="67" spans="1:3" x14ac:dyDescent="0.15">
      <c r="B67" s="130" t="s">
        <v>131</v>
      </c>
    </row>
    <row r="68" spans="1:3" x14ac:dyDescent="0.15">
      <c r="B68" s="130" t="s">
        <v>132</v>
      </c>
      <c r="C68" s="130" t="s">
        <v>133</v>
      </c>
    </row>
    <row r="71" spans="1:3" x14ac:dyDescent="0.15">
      <c r="A71" s="135" t="s">
        <v>124</v>
      </c>
    </row>
    <row r="73" spans="1:3" x14ac:dyDescent="0.15">
      <c r="B73" s="130" t="s">
        <v>134</v>
      </c>
    </row>
  </sheetData>
  <sheetProtection password="CCED" sheet="1" objects="1" scenarios="1"/>
  <mergeCells count="15">
    <mergeCell ref="E30:V30"/>
    <mergeCell ref="E31:V31"/>
    <mergeCell ref="E3:V3"/>
    <mergeCell ref="E4:V4"/>
    <mergeCell ref="E5:V5"/>
    <mergeCell ref="E6:V6"/>
    <mergeCell ref="E15:V15"/>
    <mergeCell ref="E7:V7"/>
    <mergeCell ref="E8:V8"/>
    <mergeCell ref="E9:V9"/>
    <mergeCell ref="E10:V10"/>
    <mergeCell ref="E11:V11"/>
    <mergeCell ref="E12:V12"/>
    <mergeCell ref="E13:V13"/>
    <mergeCell ref="E14:V14"/>
  </mergeCells>
  <phoneticPr fontId="29" type="noConversion"/>
  <pageMargins left="0.75" right="0.75" top="1" bottom="1" header="0.5" footer="0.5"/>
  <pageSetup scale="36" fitToHeight="0" orientation="portrait"/>
  <headerFooter>
    <oddFooter>&amp;L&amp;F&amp;C&amp;A&amp;R&amp;P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>
    <outlinePr summaryBelow="0"/>
    <pageSetUpPr fitToPage="1"/>
  </sheetPr>
  <dimension ref="A1:T55"/>
  <sheetViews>
    <sheetView showGridLines="0" tabSelected="1" topLeftCell="A24" zoomScale="124" workbookViewId="0">
      <selection activeCell="I7" sqref="I7:I8"/>
    </sheetView>
  </sheetViews>
  <sheetFormatPr baseColWidth="10" defaultColWidth="7.6640625" defaultRowHeight="13" outlineLevelRow="1" outlineLevelCol="1" x14ac:dyDescent="0.15"/>
  <cols>
    <col min="1" max="1" width="7.6640625" style="4"/>
    <col min="2" max="5" width="2.6640625" style="4" customWidth="1"/>
    <col min="6" max="6" width="36.1640625" style="4" customWidth="1"/>
    <col min="7" max="7" width="7" style="4" customWidth="1"/>
    <col min="8" max="8" width="16.83203125" style="4" customWidth="1"/>
    <col min="9" max="9" width="10.5" style="4" customWidth="1"/>
    <col min="10" max="11" width="11.5" style="4" customWidth="1"/>
    <col min="12" max="12" width="11" style="4" customWidth="1"/>
    <col min="13" max="13" width="10.33203125" style="4" customWidth="1"/>
    <col min="14" max="14" width="10.1640625" style="4" customWidth="1"/>
    <col min="15" max="15" width="7.6640625" style="46" customWidth="1"/>
    <col min="16" max="17" width="7.6640625" style="4" customWidth="1" outlineLevel="1"/>
    <col min="18" max="16384" width="7.6640625" style="4"/>
  </cols>
  <sheetData>
    <row r="1" spans="1:19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9" x14ac:dyDescent="0.15">
      <c r="A2" s="5"/>
      <c r="B2" s="6"/>
      <c r="C2" s="6"/>
      <c r="D2" s="6"/>
      <c r="E2" s="7" t="str">
        <f ca="1">MID(CELL("filename"),FIND("[",CELL("filename"))+1,FIND("]",CELL("filename"))-FIND("[",CELL("filename"))-1)</f>
        <v>DgIndex_VOI_model_2019.xlsx</v>
      </c>
      <c r="F2" s="8"/>
      <c r="G2" s="8"/>
      <c r="H2" s="8"/>
      <c r="I2" s="8"/>
      <c r="J2" s="8"/>
      <c r="K2" s="8"/>
      <c r="L2" s="8"/>
      <c r="M2" s="8"/>
      <c r="N2" s="238">
        <f ca="1">NOW()</f>
        <v>43583.210858796294</v>
      </c>
      <c r="O2" s="239"/>
      <c r="P2" s="6"/>
      <c r="Q2" s="6"/>
      <c r="R2" s="9"/>
      <c r="S2" s="10"/>
    </row>
    <row r="3" spans="1:19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9"/>
    </row>
    <row r="4" spans="1:19" x14ac:dyDescent="0.15">
      <c r="A4" s="5"/>
      <c r="B4" s="6"/>
      <c r="C4" s="6"/>
      <c r="D4" s="6"/>
      <c r="E4" s="11" t="s">
        <v>0</v>
      </c>
      <c r="F4" s="12"/>
      <c r="G4" s="12"/>
      <c r="H4" s="12"/>
      <c r="I4" s="12"/>
      <c r="J4" s="12"/>
      <c r="K4" s="12"/>
      <c r="L4" s="12"/>
      <c r="M4" s="12"/>
      <c r="N4" s="12"/>
      <c r="O4" s="13"/>
      <c r="P4" s="6"/>
      <c r="Q4" s="6"/>
      <c r="R4" s="9"/>
    </row>
    <row r="5" spans="1:19" outlineLevel="1" x14ac:dyDescent="0.15">
      <c r="A5" s="5"/>
      <c r="B5" s="6"/>
      <c r="C5" s="6"/>
      <c r="D5" s="6"/>
      <c r="E5" s="11" t="s">
        <v>1</v>
      </c>
      <c r="F5" s="12"/>
      <c r="G5" s="13"/>
      <c r="H5" s="14" t="s">
        <v>2</v>
      </c>
      <c r="I5" s="14" t="s">
        <v>3</v>
      </c>
      <c r="J5" s="15" t="s">
        <v>4</v>
      </c>
      <c r="K5" s="11" t="s">
        <v>5</v>
      </c>
      <c r="L5" s="12"/>
      <c r="M5" s="12"/>
      <c r="N5" s="12"/>
      <c r="O5" s="13"/>
      <c r="P5" s="6"/>
      <c r="Q5" s="6"/>
      <c r="R5" s="9"/>
    </row>
    <row r="6" spans="1:19" outlineLevel="1" x14ac:dyDescent="0.15">
      <c r="A6" s="5"/>
      <c r="B6" s="6"/>
      <c r="C6" s="6"/>
      <c r="D6" s="6"/>
      <c r="E6" s="16"/>
      <c r="F6" s="17"/>
      <c r="G6" s="18"/>
      <c r="H6" s="19"/>
      <c r="I6" s="20"/>
      <c r="J6" s="21"/>
      <c r="K6" s="16"/>
      <c r="L6" s="17"/>
      <c r="M6" s="17"/>
      <c r="N6" s="17"/>
      <c r="O6" s="18"/>
      <c r="P6" s="6"/>
      <c r="Q6" s="6"/>
      <c r="R6" s="9"/>
    </row>
    <row r="7" spans="1:19" ht="27" customHeight="1" outlineLevel="1" x14ac:dyDescent="0.15">
      <c r="A7" s="5"/>
      <c r="B7" s="6"/>
      <c r="C7" s="6"/>
      <c r="D7" s="6"/>
      <c r="E7" s="240" t="s">
        <v>71</v>
      </c>
      <c r="F7" s="241"/>
      <c r="G7" s="242"/>
      <c r="H7" s="117" t="s">
        <v>72</v>
      </c>
      <c r="I7" s="225">
        <f>VOII</f>
        <v>137500</v>
      </c>
      <c r="J7" s="118"/>
      <c r="K7" s="119"/>
      <c r="L7" s="120"/>
      <c r="M7" s="120"/>
      <c r="N7" s="120"/>
      <c r="O7" s="121"/>
      <c r="P7" s="6"/>
      <c r="Q7" s="6"/>
      <c r="R7" s="9"/>
    </row>
    <row r="8" spans="1:19" ht="14" outlineLevel="1" x14ac:dyDescent="0.15">
      <c r="A8" s="5"/>
      <c r="B8" s="6"/>
      <c r="C8" s="6"/>
      <c r="D8" s="6"/>
      <c r="E8" s="22" t="s">
        <v>137</v>
      </c>
      <c r="F8" s="23"/>
      <c r="G8" s="24"/>
      <c r="H8" s="25"/>
      <c r="I8" s="210" t="str">
        <f>IF(OR(itsVOII="Not Material",itsVOII&lt;=sidewallCoring),"NO","YES")</f>
        <v>YES</v>
      </c>
      <c r="J8" s="27"/>
      <c r="K8" s="28"/>
      <c r="L8" s="23"/>
      <c r="M8" s="23"/>
      <c r="N8" s="23"/>
      <c r="O8" s="24"/>
      <c r="P8" s="6"/>
      <c r="Q8" s="6"/>
      <c r="R8" s="9"/>
    </row>
    <row r="9" spans="1:19" outlineLevel="1" x14ac:dyDescent="0.15">
      <c r="A9" s="5"/>
      <c r="B9" s="6"/>
      <c r="C9" s="6"/>
      <c r="D9" s="6"/>
      <c r="E9" s="22"/>
      <c r="F9" s="23"/>
      <c r="G9" s="24"/>
      <c r="H9" s="25"/>
      <c r="I9" s="26"/>
      <c r="J9" s="27"/>
      <c r="K9" s="28"/>
      <c r="L9" s="23"/>
      <c r="M9" s="23"/>
      <c r="N9" s="23"/>
      <c r="O9" s="24"/>
      <c r="P9" s="6"/>
      <c r="Q9" s="6"/>
      <c r="R9" s="9"/>
    </row>
    <row r="10" spans="1:19" outlineLevel="1" x14ac:dyDescent="0.15">
      <c r="A10" s="5"/>
      <c r="B10" s="6"/>
      <c r="C10" s="6"/>
      <c r="D10" s="6"/>
      <c r="E10" s="30"/>
      <c r="F10" s="31"/>
      <c r="G10" s="32"/>
      <c r="H10" s="33"/>
      <c r="I10" s="34"/>
      <c r="J10" s="35"/>
      <c r="K10" s="30"/>
      <c r="L10" s="31"/>
      <c r="M10" s="31"/>
      <c r="N10" s="31"/>
      <c r="O10" s="32"/>
      <c r="P10" s="6"/>
      <c r="Q10" s="6"/>
      <c r="R10" s="9"/>
    </row>
    <row r="11" spans="1:19" outlineLevel="1" x14ac:dyDescent="0.15">
      <c r="A11" s="5"/>
      <c r="B11" s="6"/>
      <c r="C11" s="6"/>
      <c r="D11" s="6"/>
      <c r="E11" s="6"/>
      <c r="F11" s="6"/>
      <c r="G11" s="6"/>
      <c r="H11" s="6"/>
      <c r="I11" s="6"/>
      <c r="J11" s="36" t="s">
        <v>6</v>
      </c>
      <c r="K11" s="6"/>
      <c r="L11" s="6"/>
      <c r="M11" s="6"/>
      <c r="N11" s="6"/>
      <c r="O11" s="6"/>
      <c r="P11" s="6"/>
      <c r="Q11" s="6"/>
      <c r="R11" s="9"/>
    </row>
    <row r="12" spans="1:19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9"/>
    </row>
    <row r="13" spans="1:19" x14ac:dyDescent="0.15">
      <c r="A13" s="5"/>
      <c r="B13" s="6"/>
      <c r="C13" s="6"/>
      <c r="D13" s="6"/>
      <c r="E13" s="6"/>
      <c r="F13" s="6"/>
      <c r="G13" s="6"/>
      <c r="H13" s="6"/>
      <c r="I13" s="37" t="s">
        <v>7</v>
      </c>
      <c r="J13" s="37"/>
      <c r="K13" s="38"/>
      <c r="L13" s="39"/>
      <c r="M13" s="6"/>
      <c r="N13" s="6"/>
      <c r="O13" s="6"/>
      <c r="P13" s="6"/>
      <c r="Q13" s="6"/>
      <c r="R13" s="9"/>
    </row>
    <row r="14" spans="1:19" x14ac:dyDescent="0.15">
      <c r="A14" s="5"/>
      <c r="B14" s="6"/>
      <c r="C14" s="6"/>
      <c r="D14" s="6"/>
      <c r="E14" s="6"/>
      <c r="F14" s="6"/>
      <c r="G14" s="6"/>
      <c r="H14" s="36" t="s">
        <v>8</v>
      </c>
      <c r="I14" s="40" t="str">
        <f>INDEX(StratNames,theDecision)</f>
        <v>4 stages completion (standard)</v>
      </c>
      <c r="J14" s="40"/>
      <c r="K14" s="41"/>
      <c r="L14" s="42">
        <v>1</v>
      </c>
      <c r="M14" s="43" t="s">
        <v>9</v>
      </c>
      <c r="N14" s="6"/>
      <c r="O14" s="6"/>
      <c r="P14" s="6"/>
      <c r="Q14" s="6"/>
      <c r="R14" s="9"/>
    </row>
    <row r="15" spans="1:19" outlineLevel="1" x14ac:dyDescent="0.15">
      <c r="A15" s="5"/>
      <c r="B15" s="6"/>
      <c r="C15" s="6"/>
      <c r="D15" s="6"/>
      <c r="E15" s="6"/>
      <c r="F15" s="6"/>
      <c r="G15" s="6"/>
      <c r="H15" s="6"/>
      <c r="I15" s="11" t="s">
        <v>2</v>
      </c>
      <c r="J15" s="11"/>
      <c r="K15" s="44"/>
      <c r="L15" s="14" t="s">
        <v>10</v>
      </c>
      <c r="M15" s="14" t="s">
        <v>4</v>
      </c>
      <c r="N15" s="6"/>
      <c r="O15" s="6"/>
      <c r="P15" s="6"/>
      <c r="Q15" s="6"/>
      <c r="R15" s="9"/>
    </row>
    <row r="16" spans="1:19" outlineLevel="1" x14ac:dyDescent="0.15">
      <c r="A16" s="5"/>
      <c r="B16" s="6"/>
      <c r="C16" s="6"/>
      <c r="D16" s="6"/>
      <c r="E16" s="6"/>
      <c r="F16" s="6"/>
      <c r="G16" s="6"/>
      <c r="H16" s="6"/>
      <c r="I16" s="22" t="str">
        <f>""&amp;J26&amp;" stages completion (standard)"</f>
        <v>4 stages completion (standard)</v>
      </c>
      <c r="K16" s="46"/>
      <c r="L16" s="29">
        <v>1</v>
      </c>
      <c r="M16" s="47"/>
      <c r="N16" s="6"/>
      <c r="O16" s="6"/>
      <c r="P16" s="6"/>
      <c r="Q16" s="6"/>
      <c r="R16" s="9"/>
    </row>
    <row r="17" spans="1:18" outlineLevel="1" x14ac:dyDescent="0.15">
      <c r="A17" s="5"/>
      <c r="B17" s="6"/>
      <c r="C17" s="6"/>
      <c r="D17" s="6"/>
      <c r="E17" s="6"/>
      <c r="F17" s="6"/>
      <c r="G17" s="6"/>
      <c r="H17" s="6"/>
      <c r="I17" s="22" t="str">
        <f>""&amp;K26&amp;" stages completion (improved efficiency)"</f>
        <v>2 stages completion (improved efficiency)</v>
      </c>
      <c r="K17" s="46"/>
      <c r="L17" s="29">
        <v>2</v>
      </c>
      <c r="M17" s="47"/>
      <c r="N17" s="6"/>
      <c r="O17" s="6"/>
      <c r="P17" s="6"/>
      <c r="Q17" s="6"/>
      <c r="R17" s="9"/>
    </row>
    <row r="18" spans="1:18" outlineLevel="1" x14ac:dyDescent="0.15">
      <c r="A18" s="5"/>
      <c r="B18" s="6"/>
      <c r="C18" s="6"/>
      <c r="D18" s="6"/>
      <c r="E18" s="6"/>
      <c r="F18" s="6"/>
      <c r="G18" s="6"/>
      <c r="H18" s="6"/>
      <c r="I18" s="22" t="s">
        <v>63</v>
      </c>
      <c r="K18" s="46"/>
      <c r="L18" s="29">
        <v>3</v>
      </c>
      <c r="M18" s="47"/>
      <c r="N18" s="6"/>
      <c r="O18" s="6"/>
      <c r="P18" s="6"/>
      <c r="Q18" s="6"/>
      <c r="R18" s="9"/>
    </row>
    <row r="19" spans="1:18" outlineLevel="1" x14ac:dyDescent="0.15">
      <c r="A19" s="5"/>
      <c r="B19" s="6"/>
      <c r="C19" s="6"/>
      <c r="D19" s="6"/>
      <c r="E19" s="6"/>
      <c r="F19" s="6"/>
      <c r="G19" s="6"/>
      <c r="H19" s="6"/>
      <c r="I19" s="45"/>
      <c r="K19" s="46"/>
      <c r="L19" s="29"/>
      <c r="M19" s="47"/>
      <c r="N19" s="6"/>
      <c r="O19" s="6"/>
      <c r="P19" s="6"/>
      <c r="Q19" s="6"/>
      <c r="R19" s="9"/>
    </row>
    <row r="20" spans="1:18" outlineLevel="1" x14ac:dyDescent="0.15">
      <c r="A20" s="5"/>
      <c r="B20" s="6"/>
      <c r="C20" s="6"/>
      <c r="D20" s="6"/>
      <c r="E20" s="6"/>
      <c r="F20" s="6"/>
      <c r="G20" s="6"/>
      <c r="H20" s="6"/>
      <c r="I20" s="48"/>
      <c r="J20" s="49"/>
      <c r="K20" s="49"/>
      <c r="L20" s="34"/>
      <c r="M20" s="34"/>
      <c r="N20" s="6"/>
      <c r="O20" s="6"/>
      <c r="P20" s="6"/>
      <c r="Q20" s="6"/>
      <c r="R20" s="9"/>
    </row>
    <row r="21" spans="1:18" outlineLevel="1" x14ac:dyDescent="0.15">
      <c r="A21" s="5"/>
      <c r="B21" s="6"/>
      <c r="C21" s="6"/>
      <c r="D21" s="6"/>
      <c r="E21" s="6"/>
      <c r="F21" s="6"/>
      <c r="G21" s="6"/>
      <c r="H21" s="6"/>
      <c r="I21" s="43" t="s">
        <v>11</v>
      </c>
      <c r="J21" s="6"/>
      <c r="K21" s="36"/>
      <c r="L21" s="36"/>
      <c r="M21" s="36" t="s">
        <v>12</v>
      </c>
      <c r="N21" s="6"/>
      <c r="O21" s="6"/>
      <c r="P21" s="6"/>
      <c r="Q21" s="6"/>
      <c r="R21" s="9"/>
    </row>
    <row r="22" spans="1:18" x14ac:dyDescent="0.15">
      <c r="A22" s="5"/>
      <c r="B22" s="6"/>
      <c r="C22" s="6"/>
      <c r="D22" s="6"/>
      <c r="E22" s="6"/>
      <c r="F22" s="6"/>
      <c r="G22" s="6"/>
      <c r="H22" s="6"/>
      <c r="I22" s="6"/>
      <c r="J22" s="94"/>
      <c r="K22" s="6"/>
      <c r="L22" s="6"/>
      <c r="M22" s="6"/>
      <c r="N22" s="6"/>
      <c r="O22" s="6"/>
      <c r="P22" s="6"/>
      <c r="Q22" s="6"/>
      <c r="R22" s="9"/>
    </row>
    <row r="23" spans="1:18" x14ac:dyDescent="0.15">
      <c r="A23" s="5"/>
      <c r="B23" s="6"/>
      <c r="C23" s="6"/>
      <c r="D23" s="6"/>
      <c r="E23" s="11"/>
      <c r="F23" s="12"/>
      <c r="G23" s="12"/>
      <c r="H23" s="12"/>
      <c r="I23" s="12"/>
      <c r="J23" s="115" t="s">
        <v>13</v>
      </c>
      <c r="K23" s="12"/>
      <c r="L23" s="12"/>
      <c r="M23" s="12"/>
      <c r="N23" s="12"/>
      <c r="O23" s="50"/>
      <c r="P23" s="6"/>
      <c r="Q23" s="6"/>
      <c r="R23" s="9"/>
    </row>
    <row r="24" spans="1:18" outlineLevel="1" x14ac:dyDescent="0.15">
      <c r="A24" s="5"/>
      <c r="B24" s="6"/>
      <c r="C24" s="6"/>
      <c r="D24" s="6"/>
      <c r="E24" s="11"/>
      <c r="F24" s="12"/>
      <c r="G24" s="12"/>
      <c r="H24" s="12"/>
      <c r="I24" s="12"/>
      <c r="J24" s="116" t="s">
        <v>14</v>
      </c>
      <c r="K24" s="12"/>
      <c r="L24" s="12"/>
      <c r="M24" s="12"/>
      <c r="N24" s="12"/>
      <c r="O24" s="50"/>
      <c r="P24" s="6"/>
      <c r="Q24" s="6"/>
      <c r="R24" s="9"/>
    </row>
    <row r="25" spans="1:18" outlineLevel="1" x14ac:dyDescent="0.15">
      <c r="A25" s="5"/>
      <c r="B25" s="6"/>
      <c r="C25" s="6"/>
      <c r="D25" s="6"/>
      <c r="E25" s="11" t="s">
        <v>1</v>
      </c>
      <c r="F25" s="12"/>
      <c r="G25" s="13"/>
      <c r="H25" s="14" t="s">
        <v>2</v>
      </c>
      <c r="I25" s="14" t="s">
        <v>15</v>
      </c>
      <c r="J25" s="14">
        <v>1</v>
      </c>
      <c r="K25" s="14">
        <v>2</v>
      </c>
      <c r="L25" s="14">
        <v>3</v>
      </c>
      <c r="M25" s="14">
        <v>4</v>
      </c>
      <c r="N25" s="15"/>
      <c r="O25" s="51"/>
      <c r="P25" s="6"/>
      <c r="Q25" s="6"/>
      <c r="R25" s="9"/>
    </row>
    <row r="26" spans="1:18" outlineLevel="1" x14ac:dyDescent="0.15">
      <c r="A26" s="5"/>
      <c r="B26" s="6"/>
      <c r="C26" s="6"/>
      <c r="D26" s="6"/>
      <c r="E26" s="28" t="s">
        <v>149</v>
      </c>
      <c r="F26" s="23"/>
      <c r="G26" s="23"/>
      <c r="H26" s="25" t="s">
        <v>69</v>
      </c>
      <c r="I26" s="29">
        <f>INDEX(StrategyTable,, theDecision)</f>
        <v>4</v>
      </c>
      <c r="J26" s="208">
        <f>NoStagesPerfo</f>
        <v>4</v>
      </c>
      <c r="K26" s="209">
        <f>NoStagesPerfo*(1-CompletionEfficiency)</f>
        <v>2</v>
      </c>
      <c r="L26" s="209">
        <v>0</v>
      </c>
      <c r="M26" s="113"/>
      <c r="N26" s="53"/>
      <c r="O26" s="54"/>
      <c r="P26" s="6"/>
      <c r="Q26" s="6"/>
      <c r="R26" s="9"/>
    </row>
    <row r="27" spans="1:18" outlineLevel="1" x14ac:dyDescent="0.15">
      <c r="A27" s="5"/>
      <c r="B27" s="6"/>
      <c r="C27" s="6"/>
      <c r="D27" s="6"/>
      <c r="E27" s="22" t="s">
        <v>66</v>
      </c>
      <c r="F27" s="23"/>
      <c r="G27" s="23"/>
      <c r="H27" s="52" t="s">
        <v>70</v>
      </c>
      <c r="I27" s="29">
        <f>INDEX(StrategyTable,, theDecision)</f>
        <v>500000</v>
      </c>
      <c r="J27" s="111">
        <f>perStageCost*this numberOfStages</f>
        <v>500000</v>
      </c>
      <c r="K27" s="112">
        <f>perStageCost*this numberOfStages</f>
        <v>250000</v>
      </c>
      <c r="L27" s="114">
        <f>perStageCost*this numberOfStages</f>
        <v>0</v>
      </c>
      <c r="M27" s="114"/>
      <c r="N27" s="56"/>
      <c r="O27" s="54"/>
      <c r="P27" s="6"/>
      <c r="Q27" s="6"/>
      <c r="R27" s="9"/>
    </row>
    <row r="28" spans="1:18" outlineLevel="1" x14ac:dyDescent="0.15">
      <c r="A28" s="5"/>
      <c r="B28" s="6"/>
      <c r="C28" s="6"/>
      <c r="D28" s="6"/>
      <c r="E28" s="28"/>
      <c r="F28" s="23"/>
      <c r="G28" s="23"/>
      <c r="H28" s="25"/>
      <c r="I28" s="29"/>
      <c r="J28" s="55"/>
      <c r="K28" s="56"/>
      <c r="L28" s="56"/>
      <c r="M28" s="56"/>
      <c r="N28" s="56"/>
      <c r="O28" s="54"/>
      <c r="P28" s="6"/>
      <c r="Q28" s="6"/>
      <c r="R28" s="9"/>
    </row>
    <row r="29" spans="1:18" outlineLevel="1" x14ac:dyDescent="0.15">
      <c r="A29" s="5"/>
      <c r="B29" s="6"/>
      <c r="C29" s="6"/>
      <c r="D29" s="6"/>
      <c r="E29" s="30"/>
      <c r="F29" s="31"/>
      <c r="G29" s="31"/>
      <c r="H29" s="33"/>
      <c r="I29" s="34"/>
      <c r="J29" s="57"/>
      <c r="K29" s="58"/>
      <c r="L29" s="58"/>
      <c r="M29" s="58"/>
      <c r="N29" s="58"/>
      <c r="O29" s="32"/>
      <c r="P29" s="6"/>
      <c r="Q29" s="6"/>
      <c r="R29" s="9"/>
    </row>
    <row r="30" spans="1:18" outlineLevel="1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6" t="s">
        <v>16</v>
      </c>
      <c r="P30" s="36"/>
      <c r="Q30" s="6"/>
      <c r="R30" s="9"/>
    </row>
    <row r="31" spans="1:18" x14ac:dyDescent="0.1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9"/>
    </row>
    <row r="32" spans="1:18" x14ac:dyDescent="0.15">
      <c r="A32" s="5"/>
      <c r="B32" s="11" t="str">
        <f>IF(AND(2 = MIN(TheIndex),2 = MAX(TheIndex)),"Input Table","Input Table: NOT IN BASE CASE")</f>
        <v>Input Table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3"/>
      <c r="O32" s="12"/>
      <c r="P32" s="12"/>
      <c r="Q32" s="13"/>
      <c r="R32" s="9"/>
    </row>
    <row r="33" spans="1:20" x14ac:dyDescent="0.15">
      <c r="A33" s="5"/>
      <c r="B33" s="59" t="s">
        <v>17</v>
      </c>
      <c r="C33" s="60"/>
      <c r="D33" s="60"/>
      <c r="E33" s="60"/>
      <c r="F33" s="60"/>
      <c r="G33" s="61" t="s">
        <v>18</v>
      </c>
      <c r="H33" s="62" t="s">
        <v>2</v>
      </c>
      <c r="I33" s="63" t="s">
        <v>15</v>
      </c>
      <c r="J33" s="64" t="s">
        <v>19</v>
      </c>
      <c r="K33" s="65" t="s">
        <v>20</v>
      </c>
      <c r="L33" s="65" t="s">
        <v>21</v>
      </c>
      <c r="M33" s="66" t="s">
        <v>22</v>
      </c>
      <c r="N33" s="63" t="s">
        <v>23</v>
      </c>
      <c r="O33" s="67" t="s">
        <v>1</v>
      </c>
      <c r="P33" s="68"/>
      <c r="Q33" s="63" t="s">
        <v>4</v>
      </c>
      <c r="R33" s="9"/>
    </row>
    <row r="34" spans="1:20" x14ac:dyDescent="0.15">
      <c r="A34" s="5"/>
      <c r="B34" s="69"/>
      <c r="C34" s="70"/>
      <c r="D34" s="70"/>
      <c r="E34" s="70"/>
      <c r="F34" s="70"/>
      <c r="G34" s="205"/>
      <c r="H34" s="71"/>
      <c r="I34" s="212"/>
      <c r="J34" s="72"/>
      <c r="K34" s="56"/>
      <c r="L34" s="56"/>
      <c r="M34" s="73"/>
      <c r="N34" s="72"/>
      <c r="O34" s="16" t="str">
        <f t="shared" ref="O34:O53" si="0">IF(ISBLANK(TheLabel),"",TheLabel)</f>
        <v/>
      </c>
      <c r="P34" s="74"/>
      <c r="Q34" s="47"/>
      <c r="R34" s="9"/>
    </row>
    <row r="35" spans="1:20" s="79" customFormat="1" x14ac:dyDescent="0.15">
      <c r="A35" s="5"/>
      <c r="B35" s="75" t="s">
        <v>24</v>
      </c>
      <c r="C35" s="76"/>
      <c r="D35" s="76"/>
      <c r="E35" s="76"/>
      <c r="F35" s="76"/>
      <c r="G35" s="206"/>
      <c r="H35" s="25"/>
      <c r="I35" s="213"/>
      <c r="J35" s="72"/>
      <c r="K35" s="56"/>
      <c r="L35" s="56"/>
      <c r="M35" s="77"/>
      <c r="N35" s="72"/>
      <c r="O35" s="22" t="str">
        <f t="shared" si="0"/>
        <v/>
      </c>
      <c r="P35" s="78"/>
      <c r="Q35" s="47"/>
      <c r="R35" s="9"/>
    </row>
    <row r="36" spans="1:20" s="79" customFormat="1" x14ac:dyDescent="0.15">
      <c r="A36" s="5"/>
      <c r="B36" s="22"/>
      <c r="C36" s="76" t="s">
        <v>25</v>
      </c>
      <c r="D36" s="76"/>
      <c r="E36" s="76"/>
      <c r="F36" s="76"/>
      <c r="G36" s="206" t="s">
        <v>26</v>
      </c>
      <c r="H36" s="25" t="s">
        <v>27</v>
      </c>
      <c r="I36" s="214">
        <v>1000</v>
      </c>
      <c r="J36" s="72"/>
      <c r="K36" s="56"/>
      <c r="L36" s="56"/>
      <c r="M36" s="77"/>
      <c r="N36" s="72"/>
      <c r="O36" s="22" t="str">
        <f t="shared" si="0"/>
        <v>Thousand</v>
      </c>
      <c r="P36" s="78"/>
      <c r="Q36" s="47" t="s">
        <v>28</v>
      </c>
      <c r="R36" s="9"/>
    </row>
    <row r="37" spans="1:20" s="79" customFormat="1" x14ac:dyDescent="0.15">
      <c r="A37" s="5"/>
      <c r="B37" s="22"/>
      <c r="C37" s="76" t="s">
        <v>29</v>
      </c>
      <c r="D37" s="76"/>
      <c r="E37" s="76"/>
      <c r="F37" s="76"/>
      <c r="G37" s="206" t="s">
        <v>26</v>
      </c>
      <c r="H37" s="25" t="s">
        <v>30</v>
      </c>
      <c r="I37" s="215">
        <v>1000000</v>
      </c>
      <c r="J37" s="72"/>
      <c r="K37" s="56"/>
      <c r="L37" s="56"/>
      <c r="M37" s="77"/>
      <c r="N37" s="72"/>
      <c r="O37" s="22" t="str">
        <f t="shared" si="0"/>
        <v>Million</v>
      </c>
      <c r="P37" s="78"/>
      <c r="Q37" s="47" t="s">
        <v>28</v>
      </c>
      <c r="R37" s="9"/>
    </row>
    <row r="38" spans="1:20" s="79" customFormat="1" x14ac:dyDescent="0.15">
      <c r="A38" s="5"/>
      <c r="B38" s="22"/>
      <c r="C38" s="76"/>
      <c r="D38" s="76"/>
      <c r="E38" s="76"/>
      <c r="F38" s="76"/>
      <c r="G38" s="206"/>
      <c r="H38" s="25"/>
      <c r="I38" s="216"/>
      <c r="J38" s="72"/>
      <c r="K38" s="56"/>
      <c r="L38" s="56"/>
      <c r="M38" s="77"/>
      <c r="N38" s="72"/>
      <c r="O38" s="22" t="str">
        <f t="shared" si="0"/>
        <v/>
      </c>
      <c r="P38" s="78"/>
      <c r="Q38" s="47"/>
      <c r="R38" s="9"/>
    </row>
    <row r="39" spans="1:20" x14ac:dyDescent="0.15">
      <c r="A39" s="5"/>
      <c r="B39" s="80" t="s">
        <v>31</v>
      </c>
      <c r="C39" s="81"/>
      <c r="D39" s="81"/>
      <c r="E39" s="81"/>
      <c r="F39" s="81"/>
      <c r="G39" s="61"/>
      <c r="H39" s="82"/>
      <c r="I39" s="217"/>
      <c r="J39" s="72"/>
      <c r="K39" s="56"/>
      <c r="L39" s="56"/>
      <c r="M39" s="77"/>
      <c r="N39" s="72"/>
      <c r="O39" s="22" t="str">
        <f t="shared" si="0"/>
        <v/>
      </c>
      <c r="P39" s="78"/>
      <c r="Q39" s="47"/>
      <c r="R39" s="9"/>
    </row>
    <row r="40" spans="1:20" x14ac:dyDescent="0.15">
      <c r="A40" s="5"/>
      <c r="B40" s="83"/>
      <c r="C40" s="84"/>
      <c r="D40" s="81"/>
      <c r="E40" s="81"/>
      <c r="F40" s="81"/>
      <c r="G40" s="207"/>
      <c r="H40" s="82"/>
      <c r="I40" s="218"/>
      <c r="J40" s="72"/>
      <c r="K40" s="56"/>
      <c r="L40" s="56"/>
      <c r="M40" s="77"/>
      <c r="N40" s="77"/>
      <c r="O40" s="22"/>
      <c r="P40" s="78"/>
      <c r="Q40" s="47"/>
      <c r="R40" s="9"/>
    </row>
    <row r="41" spans="1:20" x14ac:dyDescent="0.15">
      <c r="A41" s="5"/>
      <c r="B41" s="83"/>
      <c r="C41" s="84" t="s">
        <v>92</v>
      </c>
      <c r="D41" s="81"/>
      <c r="E41" s="81"/>
      <c r="F41" s="81"/>
      <c r="G41" s="207" t="s">
        <v>64</v>
      </c>
      <c r="H41" s="82" t="s">
        <v>93</v>
      </c>
      <c r="I41" s="219">
        <v>1250000</v>
      </c>
      <c r="J41" s="72"/>
      <c r="K41" s="56"/>
      <c r="L41" s="56"/>
      <c r="M41" s="77"/>
      <c r="N41" s="77"/>
      <c r="O41" s="22"/>
      <c r="P41" s="78"/>
      <c r="Q41" s="47"/>
      <c r="R41" s="9"/>
    </row>
    <row r="42" spans="1:20" s="79" customFormat="1" x14ac:dyDescent="0.15">
      <c r="A42" s="5"/>
      <c r="B42" s="22"/>
      <c r="C42" s="76" t="s">
        <v>141</v>
      </c>
      <c r="D42" s="76"/>
      <c r="E42" s="76"/>
      <c r="F42" s="76"/>
      <c r="G42" s="206" t="s">
        <v>26</v>
      </c>
      <c r="H42" s="25" t="s">
        <v>144</v>
      </c>
      <c r="I42" s="220">
        <v>4</v>
      </c>
      <c r="J42" s="72"/>
      <c r="K42" s="85"/>
      <c r="L42" s="85"/>
      <c r="M42" s="86"/>
      <c r="N42" s="72"/>
      <c r="O42" s="22"/>
      <c r="P42" s="78"/>
      <c r="Q42" s="47"/>
      <c r="R42" s="9"/>
    </row>
    <row r="43" spans="1:20" s="79" customFormat="1" x14ac:dyDescent="0.15">
      <c r="A43" s="5"/>
      <c r="B43" s="22"/>
      <c r="C43" s="76"/>
      <c r="D43" s="76"/>
      <c r="E43" s="76"/>
      <c r="F43" s="76"/>
      <c r="G43" s="206"/>
      <c r="H43" s="25"/>
      <c r="I43" s="221"/>
      <c r="J43" s="72"/>
      <c r="K43" s="85"/>
      <c r="L43" s="85"/>
      <c r="M43" s="86"/>
      <c r="N43" s="72"/>
      <c r="O43" s="22"/>
      <c r="P43" s="78"/>
      <c r="Q43" s="47"/>
      <c r="R43" s="9"/>
    </row>
    <row r="44" spans="1:20" x14ac:dyDescent="0.15">
      <c r="A44" s="5"/>
      <c r="B44" s="80" t="s">
        <v>32</v>
      </c>
      <c r="C44" s="81"/>
      <c r="D44" s="81"/>
      <c r="E44" s="81"/>
      <c r="F44" s="81"/>
      <c r="G44" s="61"/>
      <c r="H44" s="82"/>
      <c r="I44" s="222"/>
      <c r="J44" s="72"/>
      <c r="K44" s="56"/>
      <c r="L44" s="56"/>
      <c r="M44" s="77"/>
      <c r="N44" s="72"/>
      <c r="O44" s="22" t="str">
        <f t="shared" si="0"/>
        <v/>
      </c>
      <c r="P44" s="78"/>
      <c r="Q44" s="47"/>
      <c r="R44" s="9"/>
      <c r="T44" s="224"/>
    </row>
    <row r="45" spans="1:20" x14ac:dyDescent="0.15">
      <c r="A45" s="5"/>
      <c r="B45" s="87"/>
      <c r="C45" s="81"/>
      <c r="D45" s="81"/>
      <c r="E45" s="81"/>
      <c r="F45" s="81"/>
      <c r="G45" s="61"/>
      <c r="H45" s="82"/>
      <c r="I45" s="222"/>
      <c r="J45" s="72"/>
      <c r="K45" s="56"/>
      <c r="L45" s="56"/>
      <c r="M45" s="77"/>
      <c r="N45" s="72"/>
      <c r="O45" s="22" t="str">
        <f t="shared" si="0"/>
        <v/>
      </c>
      <c r="P45" s="78"/>
      <c r="Q45" s="47"/>
      <c r="R45" s="9"/>
    </row>
    <row r="46" spans="1:20" x14ac:dyDescent="0.15">
      <c r="A46" s="5"/>
      <c r="B46" s="87"/>
      <c r="C46" s="84" t="s">
        <v>140</v>
      </c>
      <c r="D46" s="81"/>
      <c r="E46" s="81"/>
      <c r="F46" s="81"/>
      <c r="G46" s="207" t="s">
        <v>64</v>
      </c>
      <c r="H46" s="82" t="s">
        <v>94</v>
      </c>
      <c r="I46" s="211">
        <f t="shared" ref="I46:I52" si="1">INDEX(TheRange,,TheIndex)</f>
        <v>5000000</v>
      </c>
      <c r="J46" s="72">
        <v>2</v>
      </c>
      <c r="K46" s="219">
        <v>2000000</v>
      </c>
      <c r="L46" s="219">
        <v>5000000</v>
      </c>
      <c r="M46" s="219">
        <v>10000000</v>
      </c>
      <c r="N46" s="72"/>
      <c r="O46" s="22"/>
      <c r="P46" s="78"/>
      <c r="Q46" s="47"/>
      <c r="R46" s="9"/>
    </row>
    <row r="47" spans="1:20" s="79" customFormat="1" x14ac:dyDescent="0.15">
      <c r="A47" s="5"/>
      <c r="B47" s="22"/>
      <c r="C47" s="81" t="s">
        <v>150</v>
      </c>
      <c r="D47" s="81"/>
      <c r="E47" s="81"/>
      <c r="F47" s="81"/>
      <c r="G47" s="207" t="s">
        <v>64</v>
      </c>
      <c r="H47" s="82" t="s">
        <v>65</v>
      </c>
      <c r="I47" s="211">
        <f t="shared" si="1"/>
        <v>125000</v>
      </c>
      <c r="J47" s="72">
        <v>2</v>
      </c>
      <c r="K47" s="122">
        <v>50000</v>
      </c>
      <c r="L47" s="122">
        <v>125000</v>
      </c>
      <c r="M47" s="122">
        <v>200000</v>
      </c>
      <c r="N47" s="226"/>
      <c r="O47" s="22"/>
      <c r="P47" s="78"/>
      <c r="Q47" s="47"/>
      <c r="R47" s="9"/>
    </row>
    <row r="48" spans="1:20" s="79" customFormat="1" x14ac:dyDescent="0.15">
      <c r="A48" s="5"/>
      <c r="B48" s="22"/>
      <c r="C48" s="81" t="s">
        <v>146</v>
      </c>
      <c r="D48" s="81"/>
      <c r="E48" s="81"/>
      <c r="F48" s="81"/>
      <c r="G48" s="207" t="s">
        <v>64</v>
      </c>
      <c r="H48" s="82" t="s">
        <v>73</v>
      </c>
      <c r="I48" s="223">
        <f t="shared" si="1"/>
        <v>38500</v>
      </c>
      <c r="J48" s="72">
        <v>2</v>
      </c>
      <c r="K48" s="122">
        <v>33500</v>
      </c>
      <c r="L48" s="122">
        <v>38500</v>
      </c>
      <c r="M48" s="123">
        <v>43500</v>
      </c>
      <c r="N48" s="123"/>
      <c r="O48" s="22"/>
      <c r="P48" s="78"/>
      <c r="Q48" s="47"/>
      <c r="R48" s="9"/>
    </row>
    <row r="49" spans="1:18" s="79" customFormat="1" x14ac:dyDescent="0.15">
      <c r="A49" s="5"/>
      <c r="B49" s="22"/>
      <c r="C49" s="81" t="s">
        <v>100</v>
      </c>
      <c r="D49" s="81"/>
      <c r="E49" s="81"/>
      <c r="F49" s="81"/>
      <c r="G49" s="207" t="s">
        <v>101</v>
      </c>
      <c r="H49" s="82" t="s">
        <v>102</v>
      </c>
      <c r="I49" s="213">
        <f t="shared" si="1"/>
        <v>0.81</v>
      </c>
      <c r="J49" s="72">
        <v>2</v>
      </c>
      <c r="K49" s="154">
        <v>0.55000000000000004</v>
      </c>
      <c r="L49" s="154">
        <v>0.81</v>
      </c>
      <c r="M49" s="154">
        <v>0.95</v>
      </c>
      <c r="N49" s="200"/>
      <c r="O49" s="22"/>
      <c r="P49" s="78"/>
      <c r="Q49" s="47"/>
      <c r="R49" s="9"/>
    </row>
    <row r="50" spans="1:18" s="79" customFormat="1" x14ac:dyDescent="0.15">
      <c r="A50" s="5"/>
      <c r="B50" s="22"/>
      <c r="C50" s="81" t="s">
        <v>142</v>
      </c>
      <c r="D50" s="81"/>
      <c r="E50" s="81"/>
      <c r="F50" s="81"/>
      <c r="G50" s="207" t="s">
        <v>101</v>
      </c>
      <c r="H50" s="82" t="s">
        <v>143</v>
      </c>
      <c r="I50" s="213">
        <f t="shared" si="1"/>
        <v>0.5</v>
      </c>
      <c r="J50" s="72">
        <v>2</v>
      </c>
      <c r="K50" s="154">
        <v>0.25</v>
      </c>
      <c r="L50" s="154">
        <v>0.5</v>
      </c>
      <c r="M50" s="154">
        <v>0.75</v>
      </c>
      <c r="N50" s="200"/>
      <c r="O50" s="22"/>
      <c r="P50" s="78"/>
      <c r="Q50" s="47"/>
      <c r="R50" s="9"/>
    </row>
    <row r="51" spans="1:18" s="79" customFormat="1" x14ac:dyDescent="0.15">
      <c r="A51" s="5"/>
      <c r="B51" s="75"/>
      <c r="C51" s="76" t="s">
        <v>107</v>
      </c>
      <c r="D51" s="76"/>
      <c r="E51" s="76"/>
      <c r="F51" s="76"/>
      <c r="G51" s="206" t="s">
        <v>101</v>
      </c>
      <c r="H51" s="82" t="s">
        <v>108</v>
      </c>
      <c r="I51" s="213">
        <f t="shared" si="1"/>
        <v>0.5</v>
      </c>
      <c r="J51" s="72">
        <v>2</v>
      </c>
      <c r="K51" s="154">
        <v>0.3</v>
      </c>
      <c r="L51" s="154">
        <v>0.5</v>
      </c>
      <c r="M51" s="154">
        <v>0.7</v>
      </c>
      <c r="N51" s="200"/>
      <c r="O51" s="22"/>
      <c r="P51" s="78"/>
      <c r="Q51" s="47"/>
      <c r="R51" s="9"/>
    </row>
    <row r="52" spans="1:18" x14ac:dyDescent="0.15">
      <c r="A52" s="5"/>
      <c r="B52" s="83"/>
      <c r="C52" s="81" t="s">
        <v>151</v>
      </c>
      <c r="D52" s="81"/>
      <c r="E52" s="81"/>
      <c r="F52" s="81"/>
      <c r="G52" s="61" t="s">
        <v>101</v>
      </c>
      <c r="H52" s="82" t="s">
        <v>109</v>
      </c>
      <c r="I52" s="213">
        <f t="shared" si="1"/>
        <v>0.5</v>
      </c>
      <c r="J52" s="72">
        <v>2</v>
      </c>
      <c r="K52" s="154">
        <v>0.3</v>
      </c>
      <c r="L52" s="154">
        <v>0.5</v>
      </c>
      <c r="M52" s="154">
        <v>0.7</v>
      </c>
      <c r="N52" s="200"/>
      <c r="O52" s="22"/>
      <c r="P52" s="78"/>
      <c r="Q52" s="47"/>
      <c r="R52" s="9"/>
    </row>
    <row r="53" spans="1:18" x14ac:dyDescent="0.15">
      <c r="A53" s="5"/>
      <c r="B53" s="83"/>
      <c r="C53" s="81"/>
      <c r="D53" s="81"/>
      <c r="E53" s="81"/>
      <c r="F53" s="81"/>
      <c r="G53" s="61"/>
      <c r="H53" s="82"/>
      <c r="I53" s="222"/>
      <c r="J53" s="72"/>
      <c r="K53" s="56"/>
      <c r="L53" s="56"/>
      <c r="M53" s="77"/>
      <c r="N53" s="72"/>
      <c r="O53" s="22" t="str">
        <f t="shared" si="0"/>
        <v/>
      </c>
      <c r="P53" s="78"/>
      <c r="Q53" s="47"/>
      <c r="R53" s="9"/>
    </row>
    <row r="54" spans="1:18" x14ac:dyDescent="0.15">
      <c r="A54" s="5"/>
      <c r="B54" s="30"/>
      <c r="C54" s="31"/>
      <c r="D54" s="31"/>
      <c r="E54" s="31"/>
      <c r="F54" s="31"/>
      <c r="G54" s="31"/>
      <c r="H54" s="33"/>
      <c r="I54" s="88"/>
      <c r="J54" s="89"/>
      <c r="K54" s="58"/>
      <c r="L54" s="58"/>
      <c r="M54" s="90"/>
      <c r="N54" s="89"/>
      <c r="O54" s="35"/>
      <c r="P54" s="91"/>
      <c r="Q54" s="34"/>
      <c r="R54" s="9"/>
    </row>
    <row r="55" spans="1:18" x14ac:dyDescent="0.15">
      <c r="A55" s="92"/>
      <c r="B55" s="94"/>
      <c r="C55" s="93" t="s">
        <v>33</v>
      </c>
      <c r="D55" s="94"/>
      <c r="E55" s="94"/>
      <c r="F55" s="94"/>
      <c r="G55" s="94"/>
      <c r="H55" s="94"/>
      <c r="I55" s="94"/>
      <c r="J55" s="95" t="s">
        <v>34</v>
      </c>
      <c r="K55" s="94"/>
      <c r="L55" s="94"/>
      <c r="M55" s="94"/>
      <c r="N55" s="96" t="s">
        <v>35</v>
      </c>
      <c r="O55" s="94"/>
      <c r="P55" s="94"/>
      <c r="Q55" s="94"/>
      <c r="R55" s="97"/>
    </row>
  </sheetData>
  <mergeCells count="2">
    <mergeCell ref="N2:O2"/>
    <mergeCell ref="E7:G7"/>
  </mergeCells>
  <phoneticPr fontId="29" type="noConversion"/>
  <conditionalFormatting sqref="B32">
    <cfRule type="cellIs" dxfId="2" priority="5" stopIfTrue="1" operator="notEqual">
      <formula>"Input Table"</formula>
    </cfRule>
  </conditionalFormatting>
  <conditionalFormatting sqref="J51:J53 J34:J46">
    <cfRule type="containsBlanks" priority="3" stopIfTrue="1">
      <formula>LEN(TRIM(J34))=0</formula>
    </cfRule>
    <cfRule type="cellIs" dxfId="1" priority="4" stopIfTrue="1" operator="notEqual">
      <formula>2</formula>
    </cfRule>
  </conditionalFormatting>
  <conditionalFormatting sqref="J47:J50">
    <cfRule type="containsBlanks" priority="1" stopIfTrue="1">
      <formula>LEN(TRIM(J47))=0</formula>
    </cfRule>
    <cfRule type="cellIs" dxfId="0" priority="2" stopIfTrue="1" operator="notEqual">
      <formula>2</formula>
    </cfRule>
  </conditionalFormatting>
  <pageMargins left="0.75" right="0.75" top="1" bottom="1" header="0.5" footer="0.5"/>
  <pageSetup scale="48" orientation="portrait"/>
  <headerFooter>
    <oddFooter>&amp;L&amp;F&amp;C&amp;A&amp;R&amp;P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Drop Down 1">
              <controlPr locked="0" defaultSize="0" autoLine="0" autoPict="0">
                <anchor>
                  <from>
                    <xdr:col>1</xdr:col>
                    <xdr:colOff>25400</xdr:colOff>
                    <xdr:row>14</xdr:row>
                    <xdr:rowOff>152400</xdr:rowOff>
                  </from>
                  <to>
                    <xdr:col>5</xdr:col>
                    <xdr:colOff>2209800</xdr:colOff>
                    <xdr:row>16</xdr:row>
                    <xdr:rowOff>127000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B2:R25"/>
  <sheetViews>
    <sheetView showGridLines="0" topLeftCell="A2" zoomScale="111" workbookViewId="0">
      <selection activeCell="F14" sqref="F14"/>
    </sheetView>
  </sheetViews>
  <sheetFormatPr baseColWidth="10" defaultRowHeight="16" x14ac:dyDescent="0.2"/>
  <cols>
    <col min="1" max="1" width="3.1640625" customWidth="1"/>
    <col min="3" max="3" width="12.6640625" customWidth="1"/>
    <col min="4" max="4" width="10.83203125" style="158"/>
    <col min="6" max="6" width="10.83203125" style="158"/>
    <col min="8" max="8" width="10.83203125" style="158"/>
    <col min="9" max="9" width="12.5" customWidth="1"/>
    <col min="13" max="13" width="10.83203125" style="158"/>
    <col min="15" max="15" width="10.83203125" style="158"/>
    <col min="17" max="17" width="10.83203125" style="158"/>
    <col min="18" max="18" width="12" customWidth="1"/>
  </cols>
  <sheetData>
    <row r="2" spans="2:18" ht="26" x14ac:dyDescent="0.3">
      <c r="C2" s="175"/>
      <c r="D2" s="176"/>
      <c r="E2" s="177" t="s">
        <v>110</v>
      </c>
      <c r="F2" s="176"/>
      <c r="G2" s="175"/>
      <c r="H2" s="176"/>
      <c r="I2" s="175"/>
      <c r="L2" s="175"/>
      <c r="M2" s="176"/>
      <c r="N2" s="177" t="s">
        <v>111</v>
      </c>
      <c r="O2" s="176"/>
      <c r="P2" s="175"/>
      <c r="Q2" s="176"/>
      <c r="R2" s="175"/>
    </row>
    <row r="4" spans="2:18" s="167" customFormat="1" ht="19" x14ac:dyDescent="0.25">
      <c r="C4" s="168" t="s">
        <v>115</v>
      </c>
      <c r="D4" s="169"/>
      <c r="E4" s="168" t="s">
        <v>116</v>
      </c>
      <c r="F4" s="169"/>
      <c r="G4" s="170" t="s">
        <v>117</v>
      </c>
      <c r="H4" s="169"/>
      <c r="I4" s="170" t="s">
        <v>118</v>
      </c>
      <c r="L4" s="168" t="s">
        <v>115</v>
      </c>
      <c r="M4" s="158"/>
      <c r="N4" s="170" t="s">
        <v>117</v>
      </c>
      <c r="O4" s="158"/>
      <c r="P4" s="168" t="s">
        <v>116</v>
      </c>
      <c r="Q4" s="158"/>
      <c r="R4" s="170" t="s">
        <v>118</v>
      </c>
    </row>
    <row r="6" spans="2:18" ht="17" thickBot="1" x14ac:dyDescent="0.25">
      <c r="G6" s="126" t="s">
        <v>112</v>
      </c>
      <c r="H6" s="159"/>
      <c r="I6">
        <f>H7*F9*D12</f>
        <v>0.20250000000000001</v>
      </c>
      <c r="P6" s="162" t="s">
        <v>97</v>
      </c>
      <c r="Q6" s="159"/>
      <c r="R6">
        <f>I6</f>
        <v>0.20250000000000001</v>
      </c>
    </row>
    <row r="7" spans="2:18" x14ac:dyDescent="0.2">
      <c r="G7" s="161"/>
      <c r="H7" s="158">
        <f>dgAccuracy</f>
        <v>0.81</v>
      </c>
      <c r="P7" s="161"/>
      <c r="Q7" s="158">
        <f>R6/(R6+R10)</f>
        <v>0.81</v>
      </c>
    </row>
    <row r="8" spans="2:18" ht="17" thickBot="1" x14ac:dyDescent="0.25">
      <c r="E8" s="162" t="s">
        <v>97</v>
      </c>
      <c r="F8" s="165"/>
      <c r="G8" s="161"/>
      <c r="N8" s="126" t="s">
        <v>112</v>
      </c>
      <c r="O8" s="165"/>
      <c r="P8" s="161"/>
    </row>
    <row r="9" spans="2:18" x14ac:dyDescent="0.2">
      <c r="E9" s="161"/>
      <c r="F9" s="158">
        <f>probOpenFrac</f>
        <v>0.5</v>
      </c>
      <c r="G9" s="161"/>
      <c r="N9" s="161"/>
      <c r="O9" s="158">
        <f>(R6+R10)/(R6+R10+R12+R16)</f>
        <v>0.5</v>
      </c>
      <c r="P9" s="161"/>
    </row>
    <row r="10" spans="2:18" ht="17" thickBot="1" x14ac:dyDescent="0.25">
      <c r="E10" s="161"/>
      <c r="G10" s="163"/>
      <c r="H10" s="159">
        <f>1-H7</f>
        <v>0.18999999999999995</v>
      </c>
      <c r="I10">
        <f>H10*F9*D12</f>
        <v>4.7499999999999987E-2</v>
      </c>
      <c r="N10" s="161"/>
      <c r="P10" s="163"/>
      <c r="Q10" s="159">
        <f>R10/(R10+R6)</f>
        <v>0.18999999999999995</v>
      </c>
      <c r="R10">
        <f>I12</f>
        <v>4.7499999999999987E-2</v>
      </c>
    </row>
    <row r="11" spans="2:18" ht="17" thickBot="1" x14ac:dyDescent="0.25">
      <c r="C11" s="162" t="s">
        <v>96</v>
      </c>
      <c r="D11" s="165"/>
      <c r="E11" s="161"/>
      <c r="G11" t="s">
        <v>114</v>
      </c>
      <c r="L11" s="162" t="s">
        <v>96</v>
      </c>
      <c r="M11" s="165"/>
      <c r="N11" s="161"/>
      <c r="P11" t="s">
        <v>98</v>
      </c>
    </row>
    <row r="12" spans="2:18" ht="17" thickBot="1" x14ac:dyDescent="0.25">
      <c r="C12" s="161"/>
      <c r="D12" s="158">
        <f>probPresentFrac</f>
        <v>0.5</v>
      </c>
      <c r="E12" s="161"/>
      <c r="G12" s="126" t="s">
        <v>112</v>
      </c>
      <c r="H12" s="159"/>
      <c r="I12">
        <f>H13*F14*D12</f>
        <v>4.7499999999999987E-2</v>
      </c>
      <c r="L12" s="161"/>
      <c r="M12" s="158">
        <f>R6+R10+R12+R16</f>
        <v>0.5</v>
      </c>
      <c r="N12" s="161"/>
      <c r="P12" s="162" t="s">
        <v>97</v>
      </c>
      <c r="Q12" s="159"/>
      <c r="R12">
        <f>I10</f>
        <v>4.7499999999999987E-2</v>
      </c>
    </row>
    <row r="13" spans="2:18" x14ac:dyDescent="0.2">
      <c r="C13" s="161"/>
      <c r="E13" s="161"/>
      <c r="G13" s="161"/>
      <c r="H13" s="158">
        <f>1-H16</f>
        <v>0.18999999999999995</v>
      </c>
      <c r="L13" s="161"/>
      <c r="N13" s="161"/>
      <c r="P13" s="161"/>
      <c r="Q13" s="158">
        <f>R12/(R12+R16)</f>
        <v>0.18999999999999995</v>
      </c>
    </row>
    <row r="14" spans="2:18" ht="17" thickBot="1" x14ac:dyDescent="0.25">
      <c r="C14" s="161"/>
      <c r="E14" s="163"/>
      <c r="F14" s="165">
        <f>1-F9</f>
        <v>0.5</v>
      </c>
      <c r="G14" s="161"/>
      <c r="L14" s="161"/>
      <c r="N14" s="163"/>
      <c r="O14" s="165">
        <f>(R12+R16)/(R6+R10+R12+R16)</f>
        <v>0.5</v>
      </c>
      <c r="P14" s="161"/>
    </row>
    <row r="15" spans="2:18" ht="17" thickBot="1" x14ac:dyDescent="0.25">
      <c r="B15" s="164"/>
      <c r="C15" s="161"/>
      <c r="E15" t="s">
        <v>98</v>
      </c>
      <c r="G15" s="161"/>
      <c r="K15" s="164"/>
      <c r="L15" s="161"/>
      <c r="N15" t="s">
        <v>114</v>
      </c>
      <c r="P15" s="161"/>
    </row>
    <row r="16" spans="2:18" ht="17" thickBot="1" x14ac:dyDescent="0.25">
      <c r="C16" s="161"/>
      <c r="G16" s="163"/>
      <c r="H16" s="159">
        <f>dgAccuracy</f>
        <v>0.81</v>
      </c>
      <c r="I16">
        <f>H16*F14*D12</f>
        <v>0.20250000000000001</v>
      </c>
      <c r="L16" s="161"/>
      <c r="P16" s="163"/>
      <c r="Q16" s="159">
        <f>R16/(R12+R16)</f>
        <v>0.81</v>
      </c>
      <c r="R16">
        <f>I16</f>
        <v>0.20250000000000001</v>
      </c>
    </row>
    <row r="17" spans="3:18" x14ac:dyDescent="0.2">
      <c r="C17" s="161"/>
      <c r="G17" t="s">
        <v>114</v>
      </c>
      <c r="L17" s="161"/>
      <c r="P17" t="s">
        <v>98</v>
      </c>
    </row>
    <row r="18" spans="3:18" x14ac:dyDescent="0.2">
      <c r="C18" s="161"/>
      <c r="L18" s="161"/>
    </row>
    <row r="19" spans="3:18" ht="17" thickBot="1" x14ac:dyDescent="0.25">
      <c r="C19" s="163"/>
      <c r="D19" s="159">
        <f>1-D12</f>
        <v>0.5</v>
      </c>
      <c r="E19" s="162"/>
      <c r="F19" s="159"/>
      <c r="G19" s="162"/>
      <c r="H19" s="159"/>
      <c r="I19" s="166">
        <f>D19</f>
        <v>0.5</v>
      </c>
      <c r="L19" s="163"/>
      <c r="M19" s="159">
        <f>R19</f>
        <v>0.5</v>
      </c>
      <c r="N19" s="162"/>
      <c r="O19" s="159"/>
      <c r="P19" s="162"/>
      <c r="Q19" s="159"/>
      <c r="R19" s="166">
        <f>I19</f>
        <v>0.5</v>
      </c>
    </row>
    <row r="20" spans="3:18" x14ac:dyDescent="0.2">
      <c r="C20" t="s">
        <v>95</v>
      </c>
      <c r="L20" t="s">
        <v>95</v>
      </c>
    </row>
    <row r="23" spans="3:18" x14ac:dyDescent="0.2">
      <c r="H23" s="173" t="s">
        <v>119</v>
      </c>
      <c r="I23" s="173"/>
      <c r="J23" s="172"/>
      <c r="K23" s="174">
        <f>Q7</f>
        <v>0.81</v>
      </c>
    </row>
    <row r="24" spans="3:18" x14ac:dyDescent="0.2">
      <c r="H24" s="173" t="s">
        <v>135</v>
      </c>
      <c r="I24" s="173"/>
      <c r="J24" s="172"/>
      <c r="K24" s="174">
        <f>Q16</f>
        <v>0.81</v>
      </c>
    </row>
    <row r="25" spans="3:18" x14ac:dyDescent="0.2">
      <c r="H25" s="173" t="s">
        <v>120</v>
      </c>
      <c r="I25" s="173"/>
      <c r="J25" s="173"/>
      <c r="K25" s="174">
        <f>O9</f>
        <v>0.5</v>
      </c>
    </row>
  </sheetData>
  <sheetProtection password="CCED" sheet="1" objects="1" scenarios="1"/>
  <phoneticPr fontId="29" type="noConversion"/>
  <pageMargins left="0.7" right="0.7" top="0.75" bottom="0.75" header="0.3" footer="0.3"/>
  <pageSetup scale="41" orientation="portrait" horizontalDpi="0" verticalDpi="0"/>
  <colBreaks count="1" manualBreakCount="1">
    <brk id="19" max="104857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B2:R44"/>
  <sheetViews>
    <sheetView showGridLines="0" zoomScale="84" workbookViewId="0">
      <selection activeCell="U26" sqref="U26"/>
    </sheetView>
  </sheetViews>
  <sheetFormatPr baseColWidth="10" defaultRowHeight="16" x14ac:dyDescent="0.2"/>
  <cols>
    <col min="1" max="1" width="1.6640625" style="124" customWidth="1"/>
    <col min="2" max="2" width="14.6640625" style="124" customWidth="1"/>
    <col min="3" max="3" width="13.1640625" style="124" customWidth="1"/>
    <col min="4" max="4" width="13.5" style="124" customWidth="1"/>
    <col min="5" max="5" width="14.5" style="124" bestFit="1" customWidth="1"/>
    <col min="6" max="6" width="9" style="156" customWidth="1"/>
    <col min="7" max="7" width="10.83203125" style="124"/>
    <col min="8" max="8" width="10.83203125" style="158"/>
    <col min="9" max="9" width="12.83203125" style="124" customWidth="1"/>
    <col min="10" max="10" width="16" style="156" customWidth="1"/>
    <col min="11" max="11" width="12" style="124" bestFit="1" customWidth="1"/>
    <col min="12" max="12" width="10.83203125" style="158"/>
    <col min="13" max="13" width="12" style="124" customWidth="1"/>
    <col min="14" max="14" width="10.83203125" style="153"/>
    <col min="15" max="15" width="6.83203125" style="153" customWidth="1"/>
    <col min="16" max="16" width="15" style="186" customWidth="1"/>
    <col min="17" max="17" width="12" style="124" bestFit="1" customWidth="1"/>
    <col min="18" max="18" width="6.83203125" style="124" customWidth="1"/>
    <col min="19" max="19" width="12.5" style="124" customWidth="1"/>
    <col min="20" max="20" width="12.33203125" style="124" bestFit="1" customWidth="1"/>
    <col min="21" max="21" width="12" style="124" bestFit="1" customWidth="1"/>
    <col min="22" max="16384" width="10.83203125" style="124"/>
  </cols>
  <sheetData>
    <row r="2" spans="4:17" x14ac:dyDescent="0.2">
      <c r="P2" s="188" t="s">
        <v>104</v>
      </c>
      <c r="Q2" s="189" t="s">
        <v>103</v>
      </c>
    </row>
    <row r="4" spans="4:17" ht="17" thickBot="1" x14ac:dyDescent="0.25">
      <c r="M4" s="126" t="s">
        <v>97</v>
      </c>
      <c r="N4" s="152"/>
      <c r="O4" s="155"/>
      <c r="P4" s="186">
        <f>N5*L7*J10*H12</f>
        <v>0.25</v>
      </c>
      <c r="Q4" s="124">
        <f>E12+I10+M5</f>
        <v>3250000</v>
      </c>
    </row>
    <row r="5" spans="4:17" x14ac:dyDescent="0.2">
      <c r="M5" s="125">
        <f>successfulWell</f>
        <v>5000000</v>
      </c>
      <c r="N5" s="153">
        <f>probOpenFrac</f>
        <v>0.5</v>
      </c>
    </row>
    <row r="6" spans="4:17" ht="17" thickBot="1" x14ac:dyDescent="0.25">
      <c r="K6" s="126" t="s">
        <v>96</v>
      </c>
      <c r="L6" s="159"/>
      <c r="M6" s="125"/>
    </row>
    <row r="7" spans="4:17" x14ac:dyDescent="0.2">
      <c r="K7" s="125"/>
      <c r="L7" s="158">
        <f>probPresentFrac</f>
        <v>0.5</v>
      </c>
      <c r="M7" s="125"/>
    </row>
    <row r="8" spans="4:17" ht="17" thickBot="1" x14ac:dyDescent="0.25">
      <c r="I8" s="198">
        <f>(Q4*N5*L7)+(Q8*N8*L7)+(Q10*L10)</f>
        <v>-500000</v>
      </c>
      <c r="K8" s="125"/>
      <c r="M8" s="128">
        <v>0</v>
      </c>
      <c r="N8" s="152">
        <f>1-N5</f>
        <v>0.5</v>
      </c>
      <c r="O8" s="155"/>
      <c r="P8" s="186">
        <f>N8*L7*J10*H12</f>
        <v>0.25</v>
      </c>
      <c r="Q8" s="124">
        <f>M8+K10+E12+I10</f>
        <v>-1750000</v>
      </c>
    </row>
    <row r="9" spans="4:17" ht="17" thickBot="1" x14ac:dyDescent="0.25">
      <c r="D9" s="171" t="s">
        <v>68</v>
      </c>
      <c r="I9" s="126" t="str">
        <f>""&amp;Inputs!J26&amp;" stages completion (standard)"</f>
        <v>4 stages completion (standard)</v>
      </c>
      <c r="J9" s="157"/>
      <c r="K9" s="125"/>
      <c r="M9" s="124" t="s">
        <v>98</v>
      </c>
    </row>
    <row r="10" spans="4:17" ht="17" thickBot="1" x14ac:dyDescent="0.25">
      <c r="D10" s="171" t="s">
        <v>105</v>
      </c>
      <c r="E10" s="160">
        <f>SUMPRODUCT(Q4:Q12,P4:P12)</f>
        <v>-500000</v>
      </c>
      <c r="I10" s="125">
        <f>-Inputs!J27</f>
        <v>-500000</v>
      </c>
      <c r="J10" s="156">
        <f>IF(I8&gt;I14,1,0)</f>
        <v>1</v>
      </c>
      <c r="K10" s="128">
        <v>0</v>
      </c>
      <c r="L10" s="157">
        <f>1-L7</f>
        <v>0.5</v>
      </c>
      <c r="M10" s="126"/>
      <c r="N10" s="152"/>
      <c r="O10" s="155"/>
      <c r="P10" s="186">
        <f>L10*J10*H12</f>
        <v>0.5</v>
      </c>
      <c r="Q10" s="124">
        <f>K10+I10+E12</f>
        <v>-1750000</v>
      </c>
    </row>
    <row r="11" spans="4:17" ht="17" thickBot="1" x14ac:dyDescent="0.25">
      <c r="E11" s="126"/>
      <c r="F11" s="157"/>
      <c r="G11" s="126"/>
      <c r="H11" s="159"/>
      <c r="I11" s="125"/>
      <c r="K11" s="124" t="s">
        <v>95</v>
      </c>
    </row>
    <row r="12" spans="4:17" ht="17" thickBot="1" x14ac:dyDescent="0.25">
      <c r="E12" s="125">
        <f>-drillingCost</f>
        <v>-1250000</v>
      </c>
      <c r="H12" s="158">
        <v>1</v>
      </c>
      <c r="I12" s="128">
        <f>-Inputs!L27</f>
        <v>0</v>
      </c>
      <c r="J12" s="157">
        <f>1-J10</f>
        <v>0</v>
      </c>
      <c r="K12" s="126"/>
      <c r="L12" s="159"/>
      <c r="M12" s="126"/>
      <c r="N12" s="152"/>
      <c r="O12" s="155"/>
      <c r="P12" s="186">
        <f>J12*H12</f>
        <v>0</v>
      </c>
      <c r="Q12" s="124">
        <f>I12+E12</f>
        <v>-1250000</v>
      </c>
    </row>
    <row r="13" spans="4:17" x14ac:dyDescent="0.2">
      <c r="E13" s="125"/>
      <c r="I13" s="129" t="s">
        <v>63</v>
      </c>
    </row>
    <row r="14" spans="4:17" ht="17" thickBot="1" x14ac:dyDescent="0.25">
      <c r="E14" s="125"/>
      <c r="I14" s="197">
        <f>Q12</f>
        <v>-1250000</v>
      </c>
      <c r="M14" s="126" t="s">
        <v>97</v>
      </c>
      <c r="N14" s="152"/>
      <c r="O14" s="155"/>
      <c r="P14" s="186">
        <f>N15*L17*J19*H23*F28</f>
        <v>0.20250000000000001</v>
      </c>
      <c r="Q14" s="124">
        <f>M15+I19+E28</f>
        <v>3461500</v>
      </c>
    </row>
    <row r="15" spans="4:17" x14ac:dyDescent="0.2">
      <c r="E15" s="125"/>
      <c r="M15" s="125">
        <f>successfulWell</f>
        <v>5000000</v>
      </c>
      <c r="N15" s="153">
        <f>dgAccuracyOpen</f>
        <v>0.81</v>
      </c>
    </row>
    <row r="16" spans="4:17" ht="17" thickBot="1" x14ac:dyDescent="0.25">
      <c r="E16" s="125"/>
      <c r="K16" s="126" t="s">
        <v>96</v>
      </c>
      <c r="L16" s="159"/>
      <c r="M16" s="125"/>
    </row>
    <row r="17" spans="2:18" x14ac:dyDescent="0.2">
      <c r="B17" s="171" t="s">
        <v>123</v>
      </c>
      <c r="C17" s="160">
        <f>CEwithoutDg+drillingCost</f>
        <v>750000</v>
      </c>
      <c r="E17" s="125"/>
      <c r="I17" s="196">
        <f>(Q14*N15*L17)+(Q18*N18*L17)+(Q20*L20)</f>
        <v>486500</v>
      </c>
      <c r="K17" s="125"/>
      <c r="L17" s="158">
        <f>probPresentFrac</f>
        <v>0.5</v>
      </c>
      <c r="M17" s="125"/>
    </row>
    <row r="18" spans="2:18" ht="17" thickBot="1" x14ac:dyDescent="0.25">
      <c r="B18" s="171" t="s">
        <v>122</v>
      </c>
      <c r="C18" s="160">
        <f>CEwithFreeDg+drillingCost+sidewallCoring</f>
        <v>887500</v>
      </c>
      <c r="E18" s="125"/>
      <c r="I18" s="126" t="str">
        <f>""&amp;Inputs!K26&amp;" stages completion"</f>
        <v>2 stages completion</v>
      </c>
      <c r="J18" s="157"/>
      <c r="K18" s="125"/>
      <c r="M18" s="128">
        <v>0</v>
      </c>
      <c r="N18" s="152">
        <f>1-N15</f>
        <v>0.18999999999999995</v>
      </c>
      <c r="O18" s="155"/>
      <c r="P18" s="186">
        <f>N18*L17*J19*H23*F28</f>
        <v>4.7499999999999987E-2</v>
      </c>
      <c r="Q18" s="124">
        <f>M18+I19+E28</f>
        <v>-1538500</v>
      </c>
    </row>
    <row r="19" spans="2:18" x14ac:dyDescent="0.2">
      <c r="E19" s="125"/>
      <c r="I19" s="125">
        <f>-Inputs!K27</f>
        <v>-250000</v>
      </c>
      <c r="J19" s="156">
        <f>IF(I17&gt;I26,1,0)</f>
        <v>1</v>
      </c>
      <c r="K19" s="125"/>
      <c r="M19" s="124" t="s">
        <v>98</v>
      </c>
    </row>
    <row r="20" spans="2:18" ht="17" thickBot="1" x14ac:dyDescent="0.25">
      <c r="E20" s="125"/>
      <c r="I20" s="125"/>
      <c r="K20" s="128">
        <v>0</v>
      </c>
      <c r="L20" s="157">
        <f>1-L17</f>
        <v>0.5</v>
      </c>
      <c r="M20" s="126"/>
      <c r="N20" s="152"/>
      <c r="O20" s="155"/>
      <c r="P20" s="186">
        <f>L20*J19*H23*F28</f>
        <v>0.25</v>
      </c>
      <c r="Q20" s="124">
        <f>K20+I19+E28</f>
        <v>-1538500</v>
      </c>
    </row>
    <row r="21" spans="2:18" x14ac:dyDescent="0.2">
      <c r="B21" s="171" t="s">
        <v>106</v>
      </c>
      <c r="C21" s="160">
        <f>IF(OR(C18-C17=0,J19=J31),"Not Material",C18-C17)</f>
        <v>137500</v>
      </c>
      <c r="E21" s="125"/>
      <c r="G21" s="124" t="s">
        <v>112</v>
      </c>
      <c r="I21" s="125"/>
      <c r="J21" s="155"/>
      <c r="K21" s="124" t="s">
        <v>95</v>
      </c>
      <c r="M21" s="155"/>
      <c r="N21" s="155"/>
      <c r="O21" s="155"/>
    </row>
    <row r="22" spans="2:18" ht="17" thickBot="1" x14ac:dyDescent="0.25">
      <c r="E22" s="125"/>
      <c r="G22" s="126"/>
      <c r="H22" s="159"/>
      <c r="I22" s="180"/>
      <c r="J22" s="153"/>
      <c r="K22" s="155"/>
      <c r="L22" s="155"/>
      <c r="M22" s="155"/>
      <c r="N22" s="155"/>
      <c r="O22" s="155"/>
    </row>
    <row r="23" spans="2:18" x14ac:dyDescent="0.2">
      <c r="B23" s="171" t="s">
        <v>121</v>
      </c>
      <c r="C23" s="183">
        <f>VOII-sidewallCoring</f>
        <v>99000</v>
      </c>
      <c r="E23" s="125"/>
      <c r="G23" s="125"/>
      <c r="H23" s="158">
        <f>probDgSayOpen</f>
        <v>0.5</v>
      </c>
      <c r="I23" s="125"/>
      <c r="J23" s="155"/>
      <c r="K23" s="155"/>
      <c r="L23" s="155"/>
      <c r="M23" s="155"/>
      <c r="N23" s="155"/>
      <c r="O23" s="155"/>
    </row>
    <row r="24" spans="2:18" ht="17" thickBot="1" x14ac:dyDescent="0.25">
      <c r="D24" s="127"/>
      <c r="E24" s="125"/>
      <c r="G24" s="125"/>
      <c r="I24" s="128">
        <f>-Inputs!L27</f>
        <v>0</v>
      </c>
      <c r="J24" s="157">
        <f>1-(J19)</f>
        <v>0</v>
      </c>
      <c r="K24" s="126"/>
      <c r="L24" s="159"/>
      <c r="M24" s="126"/>
      <c r="N24" s="152"/>
      <c r="O24" s="155"/>
      <c r="P24" s="186">
        <f>J24*H23*F28</f>
        <v>0</v>
      </c>
      <c r="Q24" s="124">
        <f>I24+E28</f>
        <v>-1288500</v>
      </c>
    </row>
    <row r="25" spans="2:18" x14ac:dyDescent="0.2">
      <c r="E25" s="125"/>
      <c r="G25" s="125"/>
      <c r="I25" s="129" t="s">
        <v>63</v>
      </c>
    </row>
    <row r="26" spans="2:18" ht="17" thickBot="1" x14ac:dyDescent="0.25">
      <c r="E26" s="125"/>
      <c r="G26" s="125"/>
      <c r="H26" s="178"/>
      <c r="I26" s="199">
        <f>Q24</f>
        <v>-1288500</v>
      </c>
      <c r="J26" s="179"/>
      <c r="K26" s="129"/>
      <c r="L26" s="178"/>
      <c r="M26" s="126" t="s">
        <v>97</v>
      </c>
      <c r="N26" s="152"/>
      <c r="O26" s="155"/>
      <c r="P26" s="186">
        <f>N27*L29*J31*H34*F28</f>
        <v>0</v>
      </c>
      <c r="Q26" s="124">
        <f>M27+I31+E28</f>
        <v>3211500</v>
      </c>
      <c r="R26" s="129"/>
    </row>
    <row r="27" spans="2:18" x14ac:dyDescent="0.2">
      <c r="E27" s="125"/>
      <c r="G27" s="125"/>
      <c r="M27" s="125">
        <f>successfulWell</f>
        <v>5000000</v>
      </c>
      <c r="N27" s="153">
        <f>1-N30</f>
        <v>0.18999999999999995</v>
      </c>
      <c r="P27" s="187"/>
      <c r="R27" s="129"/>
    </row>
    <row r="28" spans="2:18" ht="17" thickBot="1" x14ac:dyDescent="0.25">
      <c r="E28" s="128">
        <f>(-drillingCost)-sidewallCoring</f>
        <v>-1288500</v>
      </c>
      <c r="F28" s="157">
        <v>1</v>
      </c>
      <c r="G28" s="125"/>
      <c r="K28" s="126" t="s">
        <v>96</v>
      </c>
      <c r="L28" s="159"/>
      <c r="M28" s="125"/>
      <c r="N28" s="124"/>
      <c r="O28" s="124"/>
      <c r="R28" s="129"/>
    </row>
    <row r="29" spans="2:18" x14ac:dyDescent="0.2">
      <c r="G29" s="125"/>
      <c r="I29" s="196">
        <f>(Q26*N27*L29)+(Q30*N30*L29)+(Q32*L32)</f>
        <v>-1313500</v>
      </c>
      <c r="K29" s="125"/>
      <c r="L29" s="158">
        <f>probPresentFrac</f>
        <v>0.5</v>
      </c>
      <c r="M29" s="125"/>
      <c r="N29" s="124"/>
      <c r="O29" s="124"/>
      <c r="P29" s="187"/>
      <c r="R29" s="129"/>
    </row>
    <row r="30" spans="2:18" ht="17" thickBot="1" x14ac:dyDescent="0.25">
      <c r="D30" s="171" t="s">
        <v>67</v>
      </c>
      <c r="G30" s="125"/>
      <c r="I30" s="126" t="str">
        <f>""&amp;Inputs!J26&amp;" stages completion (standard)"</f>
        <v>4 stages completion (standard)</v>
      </c>
      <c r="J30" s="157"/>
      <c r="K30" s="125"/>
      <c r="M30" s="128">
        <v>0</v>
      </c>
      <c r="N30" s="152">
        <f>dgAccuracySealed</f>
        <v>0.81</v>
      </c>
      <c r="O30" s="155"/>
      <c r="P30" s="186">
        <f>N30*L29*J31*H34*F28</f>
        <v>0</v>
      </c>
      <c r="Q30" s="124">
        <f>M30+I31+E28</f>
        <v>-1788500</v>
      </c>
      <c r="R30" s="129"/>
    </row>
    <row r="31" spans="2:18" x14ac:dyDescent="0.2">
      <c r="D31" s="171" t="s">
        <v>105</v>
      </c>
      <c r="E31" s="160">
        <f>SUMPRODUCT(Q14:Q36,P14:P36)</f>
        <v>-401000</v>
      </c>
      <c r="G31" s="125"/>
      <c r="I31" s="125">
        <f>-Inputs!J27</f>
        <v>-500000</v>
      </c>
      <c r="J31" s="156">
        <f>IF(I29&gt;I38,1,0)</f>
        <v>0</v>
      </c>
      <c r="K31" s="125"/>
      <c r="L31" s="124"/>
      <c r="M31" s="124" t="s">
        <v>98</v>
      </c>
      <c r="R31" s="129"/>
    </row>
    <row r="32" spans="2:18" ht="17" thickBot="1" x14ac:dyDescent="0.25">
      <c r="G32" s="125"/>
      <c r="I32" s="125"/>
      <c r="K32" s="128">
        <v>0</v>
      </c>
      <c r="L32" s="157">
        <f>1-L29</f>
        <v>0.5</v>
      </c>
      <c r="M32" s="126"/>
      <c r="N32" s="152"/>
      <c r="O32" s="155"/>
      <c r="P32" s="186">
        <f>L32*J31*H34*F28</f>
        <v>0</v>
      </c>
      <c r="Q32" s="124">
        <f>K32+I31+E28</f>
        <v>-1788500</v>
      </c>
    </row>
    <row r="33" spans="2:17" x14ac:dyDescent="0.2">
      <c r="G33" s="125"/>
      <c r="I33" s="125"/>
      <c r="J33" s="153"/>
      <c r="K33" s="124" t="s">
        <v>95</v>
      </c>
      <c r="M33" s="153"/>
    </row>
    <row r="34" spans="2:17" ht="17" thickBot="1" x14ac:dyDescent="0.25">
      <c r="G34" s="128"/>
      <c r="H34" s="159">
        <f>1-H23</f>
        <v>0.5</v>
      </c>
      <c r="I34" s="180"/>
      <c r="J34" s="153"/>
      <c r="K34" s="153"/>
      <c r="L34" s="153"/>
      <c r="M34" s="153"/>
    </row>
    <row r="35" spans="2:17" x14ac:dyDescent="0.2">
      <c r="G35" s="129" t="s">
        <v>113</v>
      </c>
      <c r="I35" s="125"/>
    </row>
    <row r="36" spans="2:17" ht="17" thickBot="1" x14ac:dyDescent="0.25">
      <c r="I36" s="128">
        <f>-Inputs!L27</f>
        <v>0</v>
      </c>
      <c r="J36" s="157">
        <f>1-(J31)</f>
        <v>1</v>
      </c>
      <c r="K36" s="126"/>
      <c r="L36" s="159"/>
      <c r="M36" s="126"/>
      <c r="N36" s="152"/>
      <c r="O36" s="155"/>
      <c r="P36" s="186">
        <f>J36*H34*F28</f>
        <v>0.5</v>
      </c>
      <c r="Q36" s="124">
        <f>I36+E28</f>
        <v>-1288500</v>
      </c>
    </row>
    <row r="37" spans="2:17" x14ac:dyDescent="0.2">
      <c r="I37" s="129" t="s">
        <v>63</v>
      </c>
    </row>
    <row r="38" spans="2:17" x14ac:dyDescent="0.2">
      <c r="I38" s="196">
        <f>Q36</f>
        <v>-1288500</v>
      </c>
    </row>
    <row r="39" spans="2:17" x14ac:dyDescent="0.2">
      <c r="H39" s="124"/>
      <c r="J39" s="124"/>
      <c r="L39" s="124"/>
      <c r="N39" s="124"/>
      <c r="O39" s="124"/>
      <c r="P39" s="187"/>
    </row>
    <row r="40" spans="2:17" s="201" customFormat="1" x14ac:dyDescent="0.2">
      <c r="F40" s="202"/>
      <c r="P40" s="203"/>
    </row>
    <row r="41" spans="2:17" x14ac:dyDescent="0.2">
      <c r="H41" s="124"/>
      <c r="J41" s="124"/>
      <c r="L41" s="124"/>
      <c r="N41" s="124"/>
      <c r="O41" s="124"/>
      <c r="P41" s="187"/>
    </row>
    <row r="42" spans="2:17" x14ac:dyDescent="0.2">
      <c r="B42" s="124" t="s">
        <v>136</v>
      </c>
      <c r="J42" s="124"/>
      <c r="L42" s="124"/>
      <c r="N42" s="124"/>
      <c r="O42" s="124"/>
      <c r="P42" s="187"/>
    </row>
    <row r="43" spans="2:17" x14ac:dyDescent="0.2">
      <c r="B43" s="124" t="s">
        <v>145</v>
      </c>
      <c r="H43" s="124"/>
      <c r="J43" s="124"/>
      <c r="L43" s="124"/>
      <c r="N43" s="124"/>
      <c r="O43" s="124"/>
      <c r="P43" s="187"/>
    </row>
    <row r="44" spans="2:17" x14ac:dyDescent="0.2">
      <c r="H44" s="124"/>
      <c r="J44" s="124"/>
      <c r="L44" s="124"/>
      <c r="N44" s="124"/>
      <c r="O44" s="124"/>
      <c r="P44" s="187"/>
    </row>
  </sheetData>
  <sheetProtection password="CCED" sheet="1" objects="1" scenarios="1"/>
  <phoneticPr fontId="29" type="noConversion"/>
  <pageMargins left="0.7" right="0.7" top="0.75" bottom="0.75" header="0.3" footer="0.3"/>
  <pageSetup scale="59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B1:R43"/>
  <sheetViews>
    <sheetView zoomScale="114" zoomScaleNormal="114" zoomScalePageLayoutView="114" workbookViewId="0">
      <selection activeCell="C4" sqref="C4"/>
    </sheetView>
  </sheetViews>
  <sheetFormatPr baseColWidth="10" defaultColWidth="8.83203125" defaultRowHeight="15" x14ac:dyDescent="0.2"/>
  <cols>
    <col min="1" max="1" width="8.83203125" style="190"/>
    <col min="2" max="2" width="12.5" style="194" bestFit="1" customWidth="1"/>
    <col min="3" max="3" width="8.83203125" style="190"/>
    <col min="4" max="4" width="22.33203125" style="190" customWidth="1"/>
    <col min="5" max="5" width="8.83203125" style="190"/>
    <col min="6" max="6" width="11.5" style="194" bestFit="1" customWidth="1"/>
    <col min="7" max="8" width="8.83203125" style="190"/>
    <col min="9" max="9" width="35" style="190" bestFit="1" customWidth="1"/>
    <col min="10" max="16384" width="8.83203125" style="190"/>
  </cols>
  <sheetData>
    <row r="1" spans="2:6" x14ac:dyDescent="0.2">
      <c r="B1" s="243" t="s">
        <v>125</v>
      </c>
      <c r="C1" s="243"/>
      <c r="D1" s="243"/>
      <c r="F1" s="194">
        <f>CEwithoutDg+drillingCost</f>
        <v>750000</v>
      </c>
    </row>
    <row r="2" spans="2:6" x14ac:dyDescent="0.2">
      <c r="B2" s="194" t="s">
        <v>129</v>
      </c>
      <c r="C2" s="190" t="s">
        <v>126</v>
      </c>
      <c r="D2" s="190" t="s">
        <v>127</v>
      </c>
    </row>
    <row r="4" spans="2:6" x14ac:dyDescent="0.2">
      <c r="B4" s="194">
        <f>'Decision Tree'!Q8</f>
        <v>-1750000</v>
      </c>
      <c r="C4" s="190">
        <v>0</v>
      </c>
      <c r="D4" s="190">
        <v>0</v>
      </c>
    </row>
    <row r="5" spans="2:6" x14ac:dyDescent="0.2">
      <c r="B5" s="194">
        <f>'Decision Tree'!Q8</f>
        <v>-1750000</v>
      </c>
      <c r="C5" s="190">
        <f>'Decision Tree'!P8</f>
        <v>0.25</v>
      </c>
      <c r="D5" s="190">
        <f>C9</f>
        <v>0</v>
      </c>
    </row>
    <row r="6" spans="2:6" x14ac:dyDescent="0.2">
      <c r="B6" s="194">
        <f>'Decision Tree'!Q10</f>
        <v>-1750000</v>
      </c>
      <c r="C6" s="190">
        <v>0</v>
      </c>
      <c r="D6" s="190">
        <f>C4+D5</f>
        <v>0</v>
      </c>
    </row>
    <row r="7" spans="2:6" x14ac:dyDescent="0.2">
      <c r="B7" s="194">
        <f>'Decision Tree'!Q10</f>
        <v>-1750000</v>
      </c>
      <c r="C7" s="190">
        <f>'Decision Tree'!P10</f>
        <v>0.5</v>
      </c>
      <c r="D7" s="190">
        <f>C5+D6</f>
        <v>0.25</v>
      </c>
    </row>
    <row r="8" spans="2:6" x14ac:dyDescent="0.2">
      <c r="B8" s="194">
        <f>'Decision Tree'!Q12</f>
        <v>-1250000</v>
      </c>
      <c r="C8" s="190">
        <v>0</v>
      </c>
      <c r="D8" s="190">
        <f>C6+D7</f>
        <v>0.25</v>
      </c>
    </row>
    <row r="9" spans="2:6" x14ac:dyDescent="0.2">
      <c r="B9" s="194">
        <f>'Decision Tree'!Q12</f>
        <v>-1250000</v>
      </c>
      <c r="C9" s="190">
        <f>'Decision Tree'!P12</f>
        <v>0</v>
      </c>
      <c r="D9" s="190">
        <f>C7+D8</f>
        <v>0.75</v>
      </c>
    </row>
    <row r="10" spans="2:6" x14ac:dyDescent="0.2">
      <c r="B10" s="194">
        <f>'Decision Tree'!Q4</f>
        <v>3250000</v>
      </c>
      <c r="C10" s="190">
        <v>0</v>
      </c>
      <c r="D10" s="190">
        <f t="shared" ref="D10:D11" si="0">C10+D9</f>
        <v>0.75</v>
      </c>
    </row>
    <row r="11" spans="2:6" x14ac:dyDescent="0.2">
      <c r="B11" s="194">
        <f>'Decision Tree'!Q4</f>
        <v>3250000</v>
      </c>
      <c r="C11" s="190">
        <f>'Decision Tree'!P4</f>
        <v>0.25</v>
      </c>
      <c r="D11" s="190">
        <f t="shared" si="0"/>
        <v>1</v>
      </c>
    </row>
    <row r="15" spans="2:6" x14ac:dyDescent="0.2">
      <c r="B15" s="243" t="s">
        <v>128</v>
      </c>
      <c r="C15" s="243"/>
      <c r="D15" s="243"/>
      <c r="F15" s="194">
        <f>CEwithFreeDg+drillingCost+sidewallCoring</f>
        <v>887500</v>
      </c>
    </row>
    <row r="16" spans="2:6" x14ac:dyDescent="0.2">
      <c r="B16" s="204"/>
      <c r="C16" s="204"/>
      <c r="D16" s="204"/>
    </row>
    <row r="17" spans="2:4" x14ac:dyDescent="0.2">
      <c r="B17" s="195">
        <f>'Decision Tree'!Q32</f>
        <v>-1788500</v>
      </c>
      <c r="C17" s="204">
        <v>0</v>
      </c>
      <c r="D17" s="190">
        <f>C17</f>
        <v>0</v>
      </c>
    </row>
    <row r="18" spans="2:4" x14ac:dyDescent="0.2">
      <c r="B18" s="195">
        <f>'Decision Tree'!Q32</f>
        <v>-1788500</v>
      </c>
      <c r="C18" s="191">
        <f>'Decision Tree'!P32</f>
        <v>0</v>
      </c>
      <c r="D18" s="191">
        <f>C18+D17</f>
        <v>0</v>
      </c>
    </row>
    <row r="19" spans="2:4" x14ac:dyDescent="0.2">
      <c r="B19" s="195">
        <f>'Decision Tree'!Q30</f>
        <v>-1788500</v>
      </c>
      <c r="C19" s="191">
        <v>0</v>
      </c>
      <c r="D19" s="191">
        <f t="shared" ref="D19:D20" si="1">C19+D18</f>
        <v>0</v>
      </c>
    </row>
    <row r="20" spans="2:4" x14ac:dyDescent="0.2">
      <c r="B20" s="195">
        <f>'Decision Tree'!Q30</f>
        <v>-1788500</v>
      </c>
      <c r="C20" s="191">
        <f>'Decision Tree'!P30</f>
        <v>0</v>
      </c>
      <c r="D20" s="191">
        <f t="shared" si="1"/>
        <v>0</v>
      </c>
    </row>
    <row r="21" spans="2:4" x14ac:dyDescent="0.2">
      <c r="B21" s="194">
        <f>'Decision Tree'!Q18</f>
        <v>-1538500</v>
      </c>
      <c r="C21" s="190">
        <v>0</v>
      </c>
      <c r="D21" s="191">
        <f>C21+D20</f>
        <v>0</v>
      </c>
    </row>
    <row r="22" spans="2:4" x14ac:dyDescent="0.2">
      <c r="B22" s="194">
        <f>'Decision Tree'!Q18</f>
        <v>-1538500</v>
      </c>
      <c r="C22" s="190">
        <f>'Decision Tree'!P18</f>
        <v>4.7499999999999987E-2</v>
      </c>
      <c r="D22" s="191">
        <f t="shared" ref="D22:D30" si="2">C22+D21</f>
        <v>4.7499999999999987E-2</v>
      </c>
    </row>
    <row r="23" spans="2:4" x14ac:dyDescent="0.2">
      <c r="B23" s="194">
        <f>'Decision Tree'!Q20</f>
        <v>-1538500</v>
      </c>
      <c r="C23" s="190">
        <v>0</v>
      </c>
      <c r="D23" s="191">
        <f t="shared" si="2"/>
        <v>4.7499999999999987E-2</v>
      </c>
    </row>
    <row r="24" spans="2:4" x14ac:dyDescent="0.2">
      <c r="B24" s="194">
        <f>'Decision Tree'!Q20</f>
        <v>-1538500</v>
      </c>
      <c r="C24" s="190">
        <f>'Decision Tree'!P20</f>
        <v>0.25</v>
      </c>
      <c r="D24" s="191">
        <f t="shared" si="2"/>
        <v>0.29749999999999999</v>
      </c>
    </row>
    <row r="25" spans="2:4" x14ac:dyDescent="0.2">
      <c r="B25" s="194">
        <f>'Decision Tree'!Q36</f>
        <v>-1288500</v>
      </c>
      <c r="C25" s="190">
        <v>0</v>
      </c>
      <c r="D25" s="191">
        <f t="shared" si="2"/>
        <v>0.29749999999999999</v>
      </c>
    </row>
    <row r="26" spans="2:4" x14ac:dyDescent="0.2">
      <c r="B26" s="194">
        <f>'Decision Tree'!Q36</f>
        <v>-1288500</v>
      </c>
      <c r="C26" s="190">
        <f>'Decision Tree'!P36</f>
        <v>0.5</v>
      </c>
      <c r="D26" s="191">
        <f t="shared" si="2"/>
        <v>0.79749999999999999</v>
      </c>
    </row>
    <row r="27" spans="2:4" x14ac:dyDescent="0.2">
      <c r="B27" s="194">
        <f>'Decision Tree'!Q26</f>
        <v>3211500</v>
      </c>
      <c r="C27" s="190">
        <v>0</v>
      </c>
      <c r="D27" s="191">
        <f t="shared" si="2"/>
        <v>0.79749999999999999</v>
      </c>
    </row>
    <row r="28" spans="2:4" x14ac:dyDescent="0.2">
      <c r="B28" s="194">
        <f>'Decision Tree'!Q26</f>
        <v>3211500</v>
      </c>
      <c r="C28" s="190">
        <f>'Decision Tree'!P26</f>
        <v>0</v>
      </c>
      <c r="D28" s="191">
        <f t="shared" si="2"/>
        <v>0.79749999999999999</v>
      </c>
    </row>
    <row r="29" spans="2:4" x14ac:dyDescent="0.2">
      <c r="B29" s="194">
        <f>'Decision Tree'!Q14</f>
        <v>3461500</v>
      </c>
      <c r="C29" s="190">
        <v>0</v>
      </c>
      <c r="D29" s="191">
        <f t="shared" si="2"/>
        <v>0.79749999999999999</v>
      </c>
    </row>
    <row r="30" spans="2:4" x14ac:dyDescent="0.2">
      <c r="B30" s="194">
        <f>'Decision Tree'!Q14</f>
        <v>3461500</v>
      </c>
      <c r="C30" s="190">
        <f>'Decision Tree'!P14</f>
        <v>0.20250000000000001</v>
      </c>
      <c r="D30" s="191">
        <f t="shared" si="2"/>
        <v>1</v>
      </c>
    </row>
    <row r="32" spans="2:4" x14ac:dyDescent="0.2">
      <c r="B32" s="243"/>
      <c r="C32" s="243"/>
      <c r="D32" s="243"/>
    </row>
    <row r="35" spans="2:18" x14ac:dyDescent="0.2">
      <c r="J35" s="192"/>
      <c r="K35" s="192"/>
      <c r="L35" s="192"/>
      <c r="R35" s="192"/>
    </row>
    <row r="36" spans="2:18" x14ac:dyDescent="0.2">
      <c r="I36" s="193"/>
      <c r="J36" s="192"/>
      <c r="K36" s="192"/>
      <c r="L36" s="192"/>
      <c r="P36" s="193"/>
      <c r="R36" s="192"/>
    </row>
    <row r="37" spans="2:18" x14ac:dyDescent="0.2">
      <c r="I37" s="193"/>
      <c r="J37" s="192"/>
      <c r="K37" s="192"/>
      <c r="L37" s="192"/>
      <c r="P37" s="193"/>
      <c r="R37" s="192"/>
    </row>
    <row r="38" spans="2:18" x14ac:dyDescent="0.2">
      <c r="I38" s="193"/>
      <c r="J38" s="192"/>
      <c r="K38" s="192"/>
      <c r="L38" s="192"/>
      <c r="P38" s="193"/>
      <c r="R38" s="192"/>
    </row>
    <row r="43" spans="2:18" x14ac:dyDescent="0.2">
      <c r="B43" s="243"/>
      <c r="C43" s="243"/>
      <c r="D43" s="243"/>
    </row>
  </sheetData>
  <sheetProtection password="CCED" sheet="1" objects="1" scenarios="1"/>
  <mergeCells count="4">
    <mergeCell ref="B1:D1"/>
    <mergeCell ref="B15:D15"/>
    <mergeCell ref="B32:D32"/>
    <mergeCell ref="B43:D43"/>
  </mergeCells>
  <phoneticPr fontId="29" type="noConversion"/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Documentation</vt:lpstr>
      <vt:lpstr>Inputs</vt:lpstr>
      <vt:lpstr>Test Accuracy (tree flip)</vt:lpstr>
      <vt:lpstr>Decision Tree</vt:lpstr>
      <vt:lpstr>CDF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2019-04-27T23:04:15Z</cp:lastPrinted>
  <dcterms:created xsi:type="dcterms:W3CDTF">2017-04-05T00:38:49Z</dcterms:created>
  <dcterms:modified xsi:type="dcterms:W3CDTF">2019-04-28T02:07:54Z</dcterms:modified>
</cp:coreProperties>
</file>