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hizlenelahlou/Documents/articles/Schwannome en régression/Pour soumission/Soumission Plos One/"/>
    </mc:Choice>
  </mc:AlternateContent>
  <xr:revisionPtr revIDLastSave="0" documentId="8_{4B49B88A-BB19-C947-80C8-403C72EC56C0}" xr6:coauthVersionLast="34" xr6:coauthVersionMax="34" xr10:uidLastSave="{00000000-0000-0000-0000-000000000000}"/>
  <bookViews>
    <workbookView xWindow="220" yWindow="460" windowWidth="28580" windowHeight="16240" xr2:uid="{00000000-000D-0000-FFFF-FFFF00000000}"/>
  </bookViews>
  <sheets>
    <sheet name="IRM" sheetId="1" r:id="rId1"/>
    <sheet name="audio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17" i="1" l="1"/>
  <c r="BF17" i="1"/>
  <c r="AQ3" i="1"/>
  <c r="BE3" i="1" s="1"/>
  <c r="AW3" i="1"/>
  <c r="AQ6" i="1"/>
  <c r="BD6" i="1" s="1"/>
  <c r="AW6" i="1"/>
  <c r="AQ10" i="1"/>
  <c r="BD10" i="1" s="1"/>
  <c r="AW10" i="1"/>
  <c r="AQ15" i="1"/>
  <c r="AW15" i="1"/>
  <c r="BD15" i="1" s="1"/>
  <c r="AQ14" i="1"/>
  <c r="AW14" i="1"/>
  <c r="BD14" i="1"/>
  <c r="AQ4" i="1"/>
  <c r="BD4" i="1" s="1"/>
  <c r="AW4" i="1"/>
  <c r="AQ7" i="1"/>
  <c r="BE7" i="1" s="1"/>
  <c r="AW7" i="1"/>
  <c r="BD7" i="1"/>
  <c r="AQ12" i="1"/>
  <c r="AW12" i="1"/>
  <c r="BD12" i="1" s="1"/>
  <c r="AQ2" i="1"/>
  <c r="BD2" i="1" s="1"/>
  <c r="AW2" i="1"/>
  <c r="AQ8" i="1"/>
  <c r="BD8" i="1" s="1"/>
  <c r="AW8" i="1"/>
  <c r="AQ13" i="1"/>
  <c r="BD13" i="1" s="1"/>
  <c r="AW13" i="1"/>
  <c r="AQ11" i="1"/>
  <c r="AW11" i="1"/>
  <c r="BD11" i="1" s="1"/>
  <c r="AQ5" i="1"/>
  <c r="BE5" i="1" s="1"/>
  <c r="AW5" i="1"/>
  <c r="BD5" i="1"/>
  <c r="AQ9" i="1"/>
  <c r="BD9" i="1" s="1"/>
  <c r="AW9" i="1"/>
  <c r="V17" i="1"/>
  <c r="S2" i="2"/>
  <c r="S18" i="2" s="1"/>
  <c r="S3" i="2"/>
  <c r="S4" i="2"/>
  <c r="S5" i="2"/>
  <c r="S6" i="2"/>
  <c r="S7" i="2"/>
  <c r="S8" i="2"/>
  <c r="S17" i="2" s="1"/>
  <c r="S9" i="2"/>
  <c r="S10" i="2"/>
  <c r="S11" i="2"/>
  <c r="S12" i="2"/>
  <c r="S15" i="2"/>
  <c r="J2" i="2"/>
  <c r="J18" i="2" s="1"/>
  <c r="J3" i="2"/>
  <c r="J4" i="2"/>
  <c r="J5" i="2"/>
  <c r="J6" i="2"/>
  <c r="J7" i="2"/>
  <c r="J8" i="2"/>
  <c r="J9" i="2"/>
  <c r="J10" i="2"/>
  <c r="J11" i="2"/>
  <c r="J12" i="2"/>
  <c r="J14" i="2"/>
  <c r="J15" i="2"/>
  <c r="AB17" i="1"/>
  <c r="BE15" i="1"/>
  <c r="AL2" i="1"/>
  <c r="AY2" i="1" s="1"/>
  <c r="BA2" i="1" s="1"/>
  <c r="AN3" i="1"/>
  <c r="BA3" i="1"/>
  <c r="AN4" i="1"/>
  <c r="BA4" i="1"/>
  <c r="AM5" i="1"/>
  <c r="AZ5" i="1" s="1"/>
  <c r="BA5" i="1"/>
  <c r="AN6" i="1"/>
  <c r="BA6" i="1"/>
  <c r="AN7" i="1"/>
  <c r="BA7" i="1"/>
  <c r="AM8" i="1"/>
  <c r="BA8" i="1"/>
  <c r="AM9" i="1"/>
  <c r="AZ9" i="1" s="1"/>
  <c r="BA9" i="1"/>
  <c r="AM10" i="1"/>
  <c r="BA10" i="1"/>
  <c r="AN11" i="1"/>
  <c r="BA11" i="1"/>
  <c r="AM12" i="1"/>
  <c r="AY12" i="1"/>
  <c r="BA12" i="1"/>
  <c r="AM13" i="1"/>
  <c r="AY13" i="1" s="1"/>
  <c r="BA13" i="1" s="1"/>
  <c r="AM14" i="1"/>
  <c r="AY14" i="1"/>
  <c r="BA14" i="1" s="1"/>
  <c r="AM15" i="1"/>
  <c r="AY15" i="1"/>
  <c r="AZ15" i="1" s="1"/>
  <c r="BA15" i="1"/>
  <c r="N2" i="1"/>
  <c r="AI2" i="1"/>
  <c r="AP2" i="1"/>
  <c r="BC2" i="1" s="1"/>
  <c r="N3" i="1"/>
  <c r="AI3" i="1"/>
  <c r="AI17" i="1" s="1"/>
  <c r="AP3" i="1"/>
  <c r="BB3" i="1" s="1"/>
  <c r="N4" i="1"/>
  <c r="AI4" i="1"/>
  <c r="AP4" i="1"/>
  <c r="BB4" i="1" s="1"/>
  <c r="N5" i="1"/>
  <c r="AI5" i="1"/>
  <c r="AP5" i="1"/>
  <c r="BB5" i="1" s="1"/>
  <c r="N6" i="1"/>
  <c r="AI6" i="1"/>
  <c r="AP6" i="1"/>
  <c r="BB6" i="1" s="1"/>
  <c r="N7" i="1"/>
  <c r="AI7" i="1"/>
  <c r="AP7" i="1"/>
  <c r="BB7" i="1" s="1"/>
  <c r="N8" i="1"/>
  <c r="AI8" i="1"/>
  <c r="AP8" i="1"/>
  <c r="BC8" i="1" s="1"/>
  <c r="N9" i="1"/>
  <c r="AI9" i="1"/>
  <c r="AP9" i="1"/>
  <c r="BB9" i="1" s="1"/>
  <c r="N10" i="1"/>
  <c r="AI10" i="1"/>
  <c r="AP10" i="1"/>
  <c r="BC10" i="1" s="1"/>
  <c r="N11" i="1"/>
  <c r="AI11" i="1"/>
  <c r="AP11" i="1"/>
  <c r="BB11" i="1" s="1"/>
  <c r="N12" i="1"/>
  <c r="AI12" i="1"/>
  <c r="AP12" i="1"/>
  <c r="BB12" i="1" s="1"/>
  <c r="N13" i="1"/>
  <c r="AI13" i="1"/>
  <c r="AP13" i="1"/>
  <c r="BB13" i="1" s="1"/>
  <c r="BC6" i="1"/>
  <c r="BC7" i="1"/>
  <c r="BE2" i="1"/>
  <c r="BE4" i="1"/>
  <c r="BE6" i="1"/>
  <c r="BE8" i="1"/>
  <c r="BE9" i="1"/>
  <c r="BE10" i="1"/>
  <c r="BE11" i="1"/>
  <c r="BE12" i="1"/>
  <c r="BE14" i="1"/>
  <c r="AZ3" i="1"/>
  <c r="AZ4" i="1"/>
  <c r="AZ6" i="1"/>
  <c r="AZ7" i="1"/>
  <c r="AZ8" i="1"/>
  <c r="AZ10" i="1"/>
  <c r="AN12" i="1"/>
  <c r="AZ12" i="1" s="1"/>
  <c r="AN13" i="1"/>
  <c r="AZ13" i="1"/>
  <c r="AN14" i="1"/>
  <c r="AZ14" i="1" s="1"/>
  <c r="AX17" i="1"/>
  <c r="AX18" i="1"/>
  <c r="AW18" i="1"/>
  <c r="AW17" i="1"/>
  <c r="AJ17" i="1"/>
  <c r="AJ18" i="1"/>
  <c r="AI14" i="1"/>
  <c r="AI15" i="1"/>
  <c r="AH2" i="1"/>
  <c r="AH3" i="1"/>
  <c r="AH18" i="1" s="1"/>
  <c r="AH4" i="1"/>
  <c r="AH5" i="1"/>
  <c r="AH6" i="1"/>
  <c r="AH7" i="1"/>
  <c r="AH8" i="1"/>
  <c r="AH9" i="1"/>
  <c r="AH10" i="1"/>
  <c r="AH11" i="1"/>
  <c r="AH12" i="1"/>
  <c r="AH13" i="1"/>
  <c r="AH14" i="1"/>
  <c r="AH15" i="1"/>
  <c r="R18" i="1"/>
  <c r="R17" i="1"/>
  <c r="O18" i="1"/>
  <c r="O17" i="1"/>
  <c r="J17" i="1"/>
  <c r="K17" i="1"/>
  <c r="L17" i="1"/>
  <c r="M2" i="1"/>
  <c r="M18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N14" i="1"/>
  <c r="N17" i="1" s="1"/>
  <c r="N15" i="1"/>
  <c r="J18" i="1"/>
  <c r="K18" i="1"/>
  <c r="L18" i="1"/>
  <c r="I18" i="1"/>
  <c r="I17" i="1"/>
  <c r="D18" i="1"/>
  <c r="D17" i="1"/>
  <c r="AN15" i="1"/>
  <c r="AL15" i="1"/>
  <c r="C17" i="1"/>
  <c r="AL12" i="1"/>
  <c r="AL13" i="1"/>
  <c r="AL14" i="1"/>
  <c r="AY11" i="1"/>
  <c r="AY10" i="1"/>
  <c r="AY9" i="1"/>
  <c r="AY8" i="1"/>
  <c r="AY7" i="1"/>
  <c r="AY6" i="1"/>
  <c r="AY5" i="1"/>
  <c r="AY4" i="1"/>
  <c r="AY3" i="1"/>
  <c r="AM11" i="1"/>
  <c r="AL11" i="1"/>
  <c r="AN10" i="1"/>
  <c r="AL10" i="1"/>
  <c r="AN8" i="1"/>
  <c r="AN9" i="1"/>
  <c r="AL8" i="1"/>
  <c r="AL9" i="1"/>
  <c r="AL7" i="1"/>
  <c r="AM7" i="1"/>
  <c r="AL6" i="1"/>
  <c r="AM6" i="1"/>
  <c r="AL5" i="1"/>
  <c r="AN5" i="1"/>
  <c r="AL4" i="1"/>
  <c r="AM4" i="1"/>
  <c r="AL3" i="1"/>
  <c r="AM3" i="1"/>
  <c r="AM2" i="1"/>
  <c r="AN2" i="1"/>
  <c r="BD18" i="1" l="1"/>
  <c r="BA17" i="1"/>
  <c r="BA18" i="1"/>
  <c r="N18" i="1"/>
  <c r="AH17" i="1"/>
  <c r="AI18" i="1"/>
  <c r="BC13" i="1"/>
  <c r="BC5" i="1"/>
  <c r="BC12" i="1"/>
  <c r="BC4" i="1"/>
  <c r="BC18" i="1" s="1"/>
  <c r="BB10" i="1"/>
  <c r="BB8" i="1"/>
  <c r="BB2" i="1"/>
  <c r="J17" i="2"/>
  <c r="BC11" i="1"/>
  <c r="BC3" i="1"/>
  <c r="AZ11" i="1"/>
  <c r="BE13" i="1"/>
  <c r="BE18" i="1" s="1"/>
  <c r="AZ2" i="1"/>
  <c r="BC9" i="1"/>
  <c r="BD3" i="1"/>
  <c r="BD17" i="1" s="1"/>
  <c r="M17" i="1"/>
  <c r="AZ18" i="1" l="1"/>
  <c r="AZ17" i="1"/>
  <c r="BC17" i="1"/>
  <c r="BE17" i="1"/>
  <c r="BB17" i="1"/>
  <c r="BB18" i="1"/>
</calcChain>
</file>

<file path=xl/sharedStrings.xml><?xml version="1.0" encoding="utf-8"?>
<sst xmlns="http://schemas.openxmlformats.org/spreadsheetml/2006/main" count="321" uniqueCount="121">
  <si>
    <t>age au dg</t>
  </si>
  <si>
    <t>stade au dg</t>
  </si>
  <si>
    <t>III</t>
  </si>
  <si>
    <t>diam AP dg</t>
  </si>
  <si>
    <t>diam ML dg</t>
  </si>
  <si>
    <t>diam SI dg</t>
  </si>
  <si>
    <t>diff larg CAI (0/1)</t>
  </si>
  <si>
    <t>diff larg CAI quant (mm)</t>
  </si>
  <si>
    <t>diff larg CAI evol (0/1)</t>
  </si>
  <si>
    <t>kystique</t>
  </si>
  <si>
    <t>hypersignal T1</t>
  </si>
  <si>
    <t>diminué</t>
  </si>
  <si>
    <t>aspect festonné (0/1)</t>
  </si>
  <si>
    <t>signal cochléaire dg</t>
  </si>
  <si>
    <t>evolution signal coch</t>
  </si>
  <si>
    <t>liseré liquidien (apparition)</t>
  </si>
  <si>
    <t>evolution kyste</t>
  </si>
  <si>
    <t>diminution</t>
  </si>
  <si>
    <t>date IRM dg</t>
  </si>
  <si>
    <t>date dernière IRM</t>
  </si>
  <si>
    <t>diam AP dernier</t>
  </si>
  <si>
    <t>diam ML dernier</t>
  </si>
  <si>
    <t>diam SI dernier</t>
  </si>
  <si>
    <t>diam AP différence dg-dernier</t>
  </si>
  <si>
    <t>diam ML différence dg-dernier</t>
  </si>
  <si>
    <t>diam SI différence dg-dernier</t>
  </si>
  <si>
    <t>loca dg</t>
  </si>
  <si>
    <t>CAI + APC</t>
  </si>
  <si>
    <t>loca dernier</t>
  </si>
  <si>
    <t>stade dernier</t>
  </si>
  <si>
    <t>II</t>
  </si>
  <si>
    <t>modif stade (0/1)</t>
  </si>
  <si>
    <t>evolution festonné (0/1)</t>
  </si>
  <si>
    <t>nc</t>
  </si>
  <si>
    <t>stable</t>
  </si>
  <si>
    <t>évolution hyperT1</t>
  </si>
  <si>
    <t xml:space="preserve">disparition sur 2ème IRM </t>
  </si>
  <si>
    <t>nb d'IRM</t>
  </si>
  <si>
    <t>suivi (ans)</t>
  </si>
  <si>
    <t>rq</t>
  </si>
  <si>
    <t xml:space="preserve">kyste hémorragique qui disparaît sur la 1ère IRM de surveillance, mais persistance décroissance après </t>
  </si>
  <si>
    <t>amélioré</t>
  </si>
  <si>
    <t>dernière IRM illisible</t>
  </si>
  <si>
    <t>APC</t>
  </si>
  <si>
    <t>nb de diamètres diminués</t>
  </si>
  <si>
    <t>OK DANS APC SEULEMENT</t>
  </si>
  <si>
    <t>ASPECT FESTONNE non pas flagrant</t>
  </si>
  <si>
    <t>CAI</t>
  </si>
  <si>
    <t>I</t>
  </si>
  <si>
    <t>sexe F</t>
  </si>
  <si>
    <t>croissance lente puis décroissance entre les 2 dernières IRM</t>
  </si>
  <si>
    <t>fond du CAI au dg</t>
  </si>
  <si>
    <t>A</t>
  </si>
  <si>
    <t>B</t>
  </si>
  <si>
    <t>fond du CAI au FIN</t>
  </si>
  <si>
    <t>modif fond du CAI</t>
  </si>
  <si>
    <t>C</t>
  </si>
  <si>
    <t>500 1</t>
  </si>
  <si>
    <t>1000 1</t>
  </si>
  <si>
    <t>2000 1</t>
  </si>
  <si>
    <t>3000 1</t>
  </si>
  <si>
    <t>SDS 1</t>
  </si>
  <si>
    <t>classe 1</t>
  </si>
  <si>
    <t>PAM 1</t>
  </si>
  <si>
    <t>500 der</t>
  </si>
  <si>
    <t>1000 der</t>
  </si>
  <si>
    <t>2000 der</t>
  </si>
  <si>
    <t>3000 der</t>
  </si>
  <si>
    <t>SDS der</t>
  </si>
  <si>
    <t>classe der</t>
  </si>
  <si>
    <t>PAM der</t>
  </si>
  <si>
    <t>date 1</t>
  </si>
  <si>
    <t>date der</t>
  </si>
  <si>
    <t>EVOLUTION</t>
  </si>
  <si>
    <t>aggravée</t>
  </si>
  <si>
    <t>D</t>
  </si>
  <si>
    <t>plus grand diam</t>
  </si>
  <si>
    <t>plus grand diamètre der</t>
  </si>
  <si>
    <t>racine APXML diag</t>
  </si>
  <si>
    <t>D1xD2xD3/2</t>
  </si>
  <si>
    <t>AXE décroissance/an</t>
  </si>
  <si>
    <t xml:space="preserve">AXE décroissance relative </t>
  </si>
  <si>
    <t>volume contouré T2 (cm3)</t>
  </si>
  <si>
    <t xml:space="preserve">volume contouré T1 gado </t>
  </si>
  <si>
    <t>pas de décroissance de la partie intra-canalaire : T1 gado 2016 coupes bcp trop larges</t>
  </si>
  <si>
    <t>T1 gado 2010 pourri</t>
  </si>
  <si>
    <t>T1 gado 2008 pourri, celui de 2017 3D</t>
  </si>
  <si>
    <t>gado 2017 mauvaise qualité</t>
  </si>
  <si>
    <t>Volume calculé décroissance/an</t>
  </si>
  <si>
    <t>volume calculé décroissance relative</t>
  </si>
  <si>
    <t>Volume mesuré décroissance/an</t>
  </si>
  <si>
    <t>volume mesuré décroissance relative</t>
  </si>
  <si>
    <t>Volume initial - volume final calculé</t>
  </si>
  <si>
    <t>volume mesuré T2 initial - final</t>
  </si>
  <si>
    <t>axe décroissance brut</t>
  </si>
  <si>
    <t>Colonne1</t>
  </si>
  <si>
    <t>racine APXML diag2</t>
  </si>
  <si>
    <t>D1xD2xD3/23</t>
  </si>
  <si>
    <t>volume contouré T2 (cm3)4</t>
  </si>
  <si>
    <t>volume contouré T1 gado 5</t>
  </si>
  <si>
    <t>50%</t>
  </si>
  <si>
    <t>50%2</t>
  </si>
  <si>
    <t>Patient</t>
  </si>
  <si>
    <t>prise de contraste hétérogène</t>
  </si>
  <si>
    <t>baisse de la prise de contraste centrale</t>
  </si>
  <si>
    <t>augmentation du diamètre tronc rocher</t>
  </si>
  <si>
    <t>NA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</si>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</sst>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8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Border="1"/>
    <xf numFmtId="14" fontId="0" fillId="0" borderId="0" xfId="0" applyNumberFormat="1"/>
    <xf numFmtId="0" fontId="1" fillId="0" borderId="0" xfId="1" applyFont="1" applyFill="1" applyBorder="1"/>
    <xf numFmtId="0" fontId="1" fillId="0" borderId="0" xfId="1" applyFont="1" applyBorder="1"/>
    <xf numFmtId="14" fontId="1" fillId="0" borderId="0" xfId="1" applyNumberFormat="1" applyFont="1" applyBorder="1"/>
    <xf numFmtId="0" fontId="6" fillId="0" borderId="0" xfId="0" applyFont="1"/>
    <xf numFmtId="0" fontId="0" fillId="0" borderId="0" xfId="0" applyFill="1"/>
    <xf numFmtId="14" fontId="7" fillId="0" borderId="0" xfId="0" applyNumberFormat="1" applyFont="1"/>
    <xf numFmtId="9" fontId="0" fillId="0" borderId="0" xfId="0" applyNumberFormat="1"/>
    <xf numFmtId="164" fontId="0" fillId="0" borderId="0" xfId="0" applyNumberFormat="1"/>
    <xf numFmtId="0" fontId="8" fillId="0" borderId="0" xfId="0" applyFont="1" applyAlignment="1">
      <alignment wrapText="1"/>
    </xf>
    <xf numFmtId="0" fontId="9" fillId="0" borderId="0" xfId="0" applyFont="1" applyFill="1" applyBorder="1"/>
    <xf numFmtId="0" fontId="0" fillId="0" borderId="0" xfId="0" applyFont="1" applyBorder="1"/>
  </cellXfs>
  <cellStyles count="28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Normal" xfId="0" builtinId="0"/>
    <cellStyle name="Normal 2" xfId="1" xr:uid="{00000000-0005-0000-0000-00001B010000}"/>
  </cellStyles>
  <dxfs count="31">
    <dxf>
      <numFmt numFmtId="165" formatCode="dd/mm/yy"/>
    </dxf>
    <dxf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numFmt numFmtId="164" formatCode="0.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dd/mm/yy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dd/mm/yy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BH15" totalsRowShown="0" headerRowDxfId="30">
  <autoFilter ref="A1:BH15" xr:uid="{00000000-0009-0000-0100-000005000000}"/>
  <sortState ref="A2:BE15">
    <sortCondition ref="B1:B15"/>
  </sortState>
  <tableColumns count="60">
    <tableColumn id="1" xr3:uid="{00000000-0010-0000-0000-000001000000}" name="Colonne1"/>
    <tableColumn id="57" xr3:uid="{00000000-0010-0000-0000-000039000000}" name="Patient"/>
    <tableColumn id="2" xr3:uid="{00000000-0010-0000-0000-000002000000}" name="sexe F"/>
    <tableColumn id="3" xr3:uid="{00000000-0010-0000-0000-000003000000}" name="age au dg" dataDxfId="29"/>
    <tableColumn id="4" xr3:uid="{00000000-0010-0000-0000-000004000000}" name="loca dg" dataDxfId="28"/>
    <tableColumn id="5" xr3:uid="{00000000-0010-0000-0000-000005000000}" name="stade au dg"/>
    <tableColumn id="6" xr3:uid="{00000000-0010-0000-0000-000006000000}" name="fond du CAI au dg"/>
    <tableColumn id="7" xr3:uid="{00000000-0010-0000-0000-000007000000}" name="date IRM dg" dataDxfId="27"/>
    <tableColumn id="8" xr3:uid="{00000000-0010-0000-0000-000008000000}" name="diam AP dg" dataDxfId="26"/>
    <tableColumn id="9" xr3:uid="{00000000-0010-0000-0000-000009000000}" name="diam ML dg" dataDxfId="25"/>
    <tableColumn id="10" xr3:uid="{00000000-0010-0000-0000-00000A000000}" name="diam SI dg" dataDxfId="24"/>
    <tableColumn id="11" xr3:uid="{00000000-0010-0000-0000-00000B000000}" name="plus grand diam" dataDxfId="23"/>
    <tableColumn id="12" xr3:uid="{00000000-0010-0000-0000-00000C000000}" name="racine APXML diag" dataDxfId="22"/>
    <tableColumn id="13" xr3:uid="{00000000-0010-0000-0000-00000D000000}" name="D1xD2xD3/2" dataDxfId="21"/>
    <tableColumn id="14" xr3:uid="{00000000-0010-0000-0000-00000E000000}" name="volume contouré T2 (cm3)" dataDxfId="20"/>
    <tableColumn id="15" xr3:uid="{00000000-0010-0000-0000-00000F000000}" name="volume contouré T1 gado " dataDxfId="19"/>
    <tableColumn id="16" xr3:uid="{00000000-0010-0000-0000-000010000000}" name="diff larg CAI (0/1)" dataDxfId="18"/>
    <tableColumn id="17" xr3:uid="{00000000-0010-0000-0000-000011000000}" name="diff larg CAI quant (mm)" dataDxfId="17"/>
    <tableColumn id="18" xr3:uid="{00000000-0010-0000-0000-000012000000}" name="diff larg CAI evol (0/1)" dataDxfId="16"/>
    <tableColumn id="19" xr3:uid="{00000000-0010-0000-0000-000013000000}" name="aspect festonné (0/1)" dataDxfId="15"/>
    <tableColumn id="20" xr3:uid="{00000000-0010-0000-0000-000014000000}" name="evolution festonné (0/1)" dataDxfId="14"/>
    <tableColumn id="21" xr3:uid="{00000000-0010-0000-0000-000015000000}" name="kystique" dataDxfId="13"/>
    <tableColumn id="22" xr3:uid="{00000000-0010-0000-0000-000016000000}" name="evolution kyste"/>
    <tableColumn id="23" xr3:uid="{00000000-0010-0000-0000-000017000000}" name="hypersignal T1"/>
    <tableColumn id="24" xr3:uid="{00000000-0010-0000-0000-000018000000}" name="évolution hyperT1"/>
    <tableColumn id="25" xr3:uid="{00000000-0010-0000-0000-000019000000}" name="signal cochléaire dg"/>
    <tableColumn id="26" xr3:uid="{00000000-0010-0000-0000-00001A000000}" name="evolution signal coch"/>
    <tableColumn id="27" xr3:uid="{00000000-0010-0000-0000-00001B000000}" name="liseré liquidien (apparition)"/>
    <tableColumn id="28" xr3:uid="{00000000-0010-0000-0000-00001C000000}" name="date dernière IRM" dataDxfId="12"/>
    <tableColumn id="29" xr3:uid="{00000000-0010-0000-0000-00001D000000}" name="diam AP dernier" dataDxfId="11"/>
    <tableColumn id="30" xr3:uid="{00000000-0010-0000-0000-00001E000000}" name="diam ML dernier" dataDxfId="10"/>
    <tableColumn id="31" xr3:uid="{00000000-0010-0000-0000-00001F000000}" name="diam SI dernier" dataDxfId="9"/>
    <tableColumn id="32" xr3:uid="{00000000-0010-0000-0000-000020000000}" name="plus grand diamètre der" dataDxfId="8"/>
    <tableColumn id="33" xr3:uid="{00000000-0010-0000-0000-000021000000}" name="racine APXML diag2" dataDxfId="7"/>
    <tableColumn id="34" xr3:uid="{00000000-0010-0000-0000-000022000000}" name="D1xD2xD3/23" dataDxfId="6"/>
    <tableColumn id="35" xr3:uid="{00000000-0010-0000-0000-000023000000}" name="volume contouré T2 (cm3)4" dataDxfId="5"/>
    <tableColumn id="36" xr3:uid="{00000000-0010-0000-0000-000024000000}" name="volume contouré T1 gado 5" dataDxfId="4"/>
    <tableColumn id="37" xr3:uid="{00000000-0010-0000-0000-000025000000}" name="diam AP différence dg-dernier"/>
    <tableColumn id="38" xr3:uid="{00000000-0010-0000-0000-000026000000}" name="diam ML différence dg-dernier"/>
    <tableColumn id="39" xr3:uid="{00000000-0010-0000-0000-000027000000}" name="diam SI différence dg-dernier"/>
    <tableColumn id="40" xr3:uid="{00000000-0010-0000-0000-000028000000}" name="nb de diamètres diminués"/>
    <tableColumn id="41" xr3:uid="{00000000-0010-0000-0000-000029000000}" name="Volume initial - volume final calculé"/>
    <tableColumn id="42" xr3:uid="{00000000-0010-0000-0000-00002A000000}" name="volume mesuré T2 initial - final"/>
    <tableColumn id="43" xr3:uid="{00000000-0010-0000-0000-00002B000000}" name="loca dernier"/>
    <tableColumn id="44" xr3:uid="{00000000-0010-0000-0000-00002C000000}" name="stade dernier"/>
    <tableColumn id="45" xr3:uid="{00000000-0010-0000-0000-00002D000000}" name="modif stade (0/1)"/>
    <tableColumn id="46" xr3:uid="{00000000-0010-0000-0000-00002E000000}" name="fond du CAI au FIN"/>
    <tableColumn id="47" xr3:uid="{00000000-0010-0000-0000-00002F000000}" name="modif fond du CAI"/>
    <tableColumn id="48" xr3:uid="{00000000-0010-0000-0000-000030000000}" name="suivi (ans)" dataDxfId="3"/>
    <tableColumn id="49" xr3:uid="{00000000-0010-0000-0000-000031000000}" name="nb d'IRM"/>
    <tableColumn id="50" xr3:uid="{00000000-0010-0000-0000-000032000000}" name="axe décroissance brut"/>
    <tableColumn id="51" xr3:uid="{00000000-0010-0000-0000-000033000000}" name="AXE décroissance/an"/>
    <tableColumn id="52" xr3:uid="{00000000-0010-0000-0000-000034000000}" name="AXE décroissance relative "/>
    <tableColumn id="53" xr3:uid="{00000000-0010-0000-0000-000035000000}" name="Volume calculé décroissance/an"/>
    <tableColumn id="54" xr3:uid="{00000000-0010-0000-0000-000036000000}" name="volume calculé décroissance relative"/>
    <tableColumn id="55" xr3:uid="{00000000-0010-0000-0000-000037000000}" name="Volume mesuré décroissance/an"/>
    <tableColumn id="56" xr3:uid="{00000000-0010-0000-0000-000038000000}" name="volume mesuré décroissance relative"/>
    <tableColumn id="58" xr3:uid="{00000000-0010-0000-0000-00003A000000}" name="prise de contraste hétérogène"/>
    <tableColumn id="59" xr3:uid="{00000000-0010-0000-0000-00003B000000}" name="baisse de la prise de contraste centrale"/>
    <tableColumn id="60" xr3:uid="{00000000-0010-0000-0000-00003C000000}" name="augmentation du diamètre tronc roche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A1:V15" totalsRowShown="0">
  <autoFilter ref="A1:V15" xr:uid="{00000000-0009-0000-0100-000006000000}"/>
  <tableColumns count="22">
    <tableColumn id="1" xr3:uid="{00000000-0010-0000-0100-000001000000}" name="Colonne1" dataDxfId="2"/>
    <tableColumn id="2" xr3:uid="{00000000-0010-0000-0100-000002000000}" name="date 1" dataDxfId="1"/>
    <tableColumn id="3" xr3:uid="{00000000-0010-0000-0100-000003000000}" name="500 1"/>
    <tableColumn id="4" xr3:uid="{00000000-0010-0000-0100-000004000000}" name="1000 1"/>
    <tableColumn id="5" xr3:uid="{00000000-0010-0000-0100-000005000000}" name="2000 1"/>
    <tableColumn id="6" xr3:uid="{00000000-0010-0000-0100-000006000000}" name="3000 1"/>
    <tableColumn id="7" xr3:uid="{00000000-0010-0000-0100-000007000000}" name="50%"/>
    <tableColumn id="8" xr3:uid="{00000000-0010-0000-0100-000008000000}" name="SDS 1"/>
    <tableColumn id="9" xr3:uid="{00000000-0010-0000-0100-000009000000}" name="classe 1"/>
    <tableColumn id="10" xr3:uid="{00000000-0010-0000-0100-00000A000000}" name="PAM 1"/>
    <tableColumn id="11" xr3:uid="{00000000-0010-0000-0100-00000B000000}" name="date der" dataDxfId="0"/>
    <tableColumn id="12" xr3:uid="{00000000-0010-0000-0100-00000C000000}" name="500 der"/>
    <tableColumn id="13" xr3:uid="{00000000-0010-0000-0100-00000D000000}" name="1000 der"/>
    <tableColumn id="14" xr3:uid="{00000000-0010-0000-0100-00000E000000}" name="2000 der"/>
    <tableColumn id="15" xr3:uid="{00000000-0010-0000-0100-00000F000000}" name="3000 der"/>
    <tableColumn id="16" xr3:uid="{00000000-0010-0000-0100-000010000000}" name="50%2"/>
    <tableColumn id="17" xr3:uid="{00000000-0010-0000-0100-000011000000}" name="SDS der"/>
    <tableColumn id="18" xr3:uid="{00000000-0010-0000-0100-000012000000}" name="classe der"/>
    <tableColumn id="19" xr3:uid="{00000000-0010-0000-0100-000013000000}" name="PAM der"/>
    <tableColumn id="20" xr3:uid="{00000000-0010-0000-0100-000014000000}" name="EVOLUTION"/>
    <tableColumn id="21" xr3:uid="{00000000-0010-0000-0100-000015000000}" name="signal cochléaire dg"/>
    <tableColumn id="22" xr3:uid="{00000000-0010-0000-0100-000016000000}" name="evolution signal coch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4"/>
  <sheetViews>
    <sheetView tabSelected="1" workbookViewId="0">
      <selection activeCell="E25" sqref="E25"/>
    </sheetView>
  </sheetViews>
  <sheetFormatPr baseColWidth="10" defaultRowHeight="15" x14ac:dyDescent="0.2"/>
  <cols>
    <col min="2" max="2" width="16.5" customWidth="1"/>
    <col min="3" max="3" width="8" customWidth="1"/>
    <col min="4" max="4" width="10.33203125" customWidth="1"/>
    <col min="5" max="5" width="9.83203125" customWidth="1"/>
    <col min="6" max="6" width="11.6640625" customWidth="1"/>
    <col min="7" max="7" width="15.83203125" customWidth="1"/>
    <col min="8" max="8" width="12" customWidth="1"/>
    <col min="9" max="9" width="11.5" customWidth="1"/>
    <col min="10" max="10" width="11.6640625" customWidth="1"/>
    <col min="11" max="11" width="10.83203125" customWidth="1"/>
    <col min="12" max="12" width="14.6640625" customWidth="1"/>
    <col min="13" max="13" width="16.5" customWidth="1"/>
    <col min="14" max="14" width="12.33203125" customWidth="1"/>
    <col min="15" max="15" width="21.83203125" customWidth="1"/>
    <col min="16" max="16" width="21.6640625" customWidth="1"/>
    <col min="17" max="17" width="15.5" customWidth="1"/>
    <col min="18" max="18" width="20.1640625" customWidth="1"/>
    <col min="19" max="19" width="18.6640625" customWidth="1"/>
    <col min="20" max="20" width="18.33203125" customWidth="1"/>
    <col min="21" max="21" width="20.5" customWidth="1"/>
    <col min="23" max="23" width="14.1640625" customWidth="1"/>
    <col min="24" max="24" width="13.6640625" customWidth="1"/>
    <col min="25" max="25" width="16.1640625" customWidth="1"/>
    <col min="26" max="26" width="17.1640625" customWidth="1"/>
    <col min="27" max="27" width="18" customWidth="1"/>
    <col min="28" max="28" width="22.1640625" customWidth="1"/>
    <col min="29" max="29" width="16.1640625" customWidth="1"/>
    <col min="30" max="30" width="14.83203125" customWidth="1"/>
    <col min="31" max="31" width="15" customWidth="1"/>
    <col min="32" max="32" width="14.1640625" customWidth="1"/>
    <col min="33" max="33" width="20.1640625" customWidth="1"/>
    <col min="34" max="34" width="17.33203125" customWidth="1"/>
    <col min="35" max="35" width="13.1640625" customWidth="1"/>
    <col min="36" max="36" width="22.6640625" customWidth="1"/>
    <col min="37" max="37" width="22.5" customWidth="1"/>
    <col min="38" max="38" width="24.33203125" customWidth="1"/>
    <col min="39" max="39" width="24.6640625" customWidth="1"/>
    <col min="40" max="40" width="23.6640625" customWidth="1"/>
    <col min="41" max="41" width="21.5" customWidth="1"/>
    <col min="42" max="42" width="28" customWidth="1"/>
    <col min="43" max="43" width="24.83203125" customWidth="1"/>
    <col min="44" max="44" width="11.83203125" customWidth="1"/>
    <col min="45" max="45" width="12.83203125" customWidth="1"/>
    <col min="46" max="46" width="15.6640625" customWidth="1"/>
    <col min="47" max="47" width="16.5" customWidth="1"/>
    <col min="48" max="48" width="16.1640625" customWidth="1"/>
    <col min="49" max="49" width="10.6640625" customWidth="1"/>
    <col min="51" max="51" width="18.6640625" customWidth="1"/>
    <col min="52" max="52" width="18" customWidth="1"/>
    <col min="53" max="53" width="21.5" customWidth="1"/>
    <col min="54" max="54" width="25.6640625" customWidth="1"/>
    <col min="55" max="55" width="28.6640625" customWidth="1"/>
    <col min="56" max="56" width="26.1640625" customWidth="1"/>
    <col min="57" max="57" width="29.1640625" customWidth="1"/>
    <col min="58" max="58" width="16.33203125" customWidth="1"/>
    <col min="59" max="60" width="15.33203125" customWidth="1"/>
  </cols>
  <sheetData>
    <row r="1" spans="1:66" s="3" customFormat="1" ht="45" customHeight="1" x14ac:dyDescent="0.2">
      <c r="A1" s="3" t="s">
        <v>95</v>
      </c>
      <c r="B1" s="3" t="s">
        <v>102</v>
      </c>
      <c r="C1" s="3" t="s">
        <v>49</v>
      </c>
      <c r="D1" s="3" t="s">
        <v>0</v>
      </c>
      <c r="E1" s="3" t="s">
        <v>26</v>
      </c>
      <c r="F1" s="3" t="s">
        <v>1</v>
      </c>
      <c r="G1" s="3" t="s">
        <v>51</v>
      </c>
      <c r="H1" s="3" t="s">
        <v>18</v>
      </c>
      <c r="I1" s="4" t="s">
        <v>3</v>
      </c>
      <c r="J1" s="4" t="s">
        <v>4</v>
      </c>
      <c r="K1" s="4" t="s">
        <v>5</v>
      </c>
      <c r="L1" s="6" t="s">
        <v>76</v>
      </c>
      <c r="M1" s="6" t="s">
        <v>78</v>
      </c>
      <c r="N1" s="6" t="s">
        <v>79</v>
      </c>
      <c r="O1" s="6" t="s">
        <v>82</v>
      </c>
      <c r="P1" s="6" t="s">
        <v>83</v>
      </c>
      <c r="Q1" s="5" t="s">
        <v>6</v>
      </c>
      <c r="R1" s="5" t="s">
        <v>7</v>
      </c>
      <c r="S1" s="5" t="s">
        <v>8</v>
      </c>
      <c r="T1" s="4" t="s">
        <v>12</v>
      </c>
      <c r="U1" s="4" t="s">
        <v>32</v>
      </c>
      <c r="V1" s="4" t="s">
        <v>9</v>
      </c>
      <c r="W1" s="4" t="s">
        <v>16</v>
      </c>
      <c r="X1" s="4" t="s">
        <v>10</v>
      </c>
      <c r="Y1" s="6" t="s">
        <v>35</v>
      </c>
      <c r="Z1" s="6" t="s">
        <v>13</v>
      </c>
      <c r="AA1" s="3" t="s">
        <v>14</v>
      </c>
      <c r="AB1" s="3" t="s">
        <v>15</v>
      </c>
      <c r="AC1" s="3" t="s">
        <v>19</v>
      </c>
      <c r="AD1" s="4" t="s">
        <v>20</v>
      </c>
      <c r="AE1" s="4" t="s">
        <v>21</v>
      </c>
      <c r="AF1" s="4" t="s">
        <v>22</v>
      </c>
      <c r="AG1" s="6" t="s">
        <v>77</v>
      </c>
      <c r="AH1" s="6" t="s">
        <v>96</v>
      </c>
      <c r="AI1" s="17" t="s">
        <v>97</v>
      </c>
      <c r="AJ1" s="6" t="s">
        <v>98</v>
      </c>
      <c r="AK1" s="6" t="s">
        <v>99</v>
      </c>
      <c r="AL1" s="3" t="s">
        <v>23</v>
      </c>
      <c r="AM1" s="3" t="s">
        <v>24</v>
      </c>
      <c r="AN1" s="3" t="s">
        <v>25</v>
      </c>
      <c r="AO1" s="3" t="s">
        <v>44</v>
      </c>
      <c r="AP1" s="3" t="s">
        <v>92</v>
      </c>
      <c r="AQ1" s="3" t="s">
        <v>93</v>
      </c>
      <c r="AR1" s="3" t="s">
        <v>28</v>
      </c>
      <c r="AS1" s="3" t="s">
        <v>29</v>
      </c>
      <c r="AT1" s="3" t="s">
        <v>31</v>
      </c>
      <c r="AU1" s="3" t="s">
        <v>54</v>
      </c>
      <c r="AV1" s="3" t="s">
        <v>55</v>
      </c>
      <c r="AW1" s="3" t="s">
        <v>38</v>
      </c>
      <c r="AX1" s="3" t="s">
        <v>37</v>
      </c>
      <c r="AY1" s="3" t="s">
        <v>94</v>
      </c>
      <c r="AZ1" s="3" t="s">
        <v>80</v>
      </c>
      <c r="BA1" s="3" t="s">
        <v>81</v>
      </c>
      <c r="BB1" s="3" t="s">
        <v>88</v>
      </c>
      <c r="BC1" s="3" t="s">
        <v>89</v>
      </c>
      <c r="BD1" s="3" t="s">
        <v>90</v>
      </c>
      <c r="BE1" s="3" t="s">
        <v>91</v>
      </c>
      <c r="BF1" s="3" t="s">
        <v>103</v>
      </c>
      <c r="BG1" s="3" t="s">
        <v>104</v>
      </c>
      <c r="BH1" s="3" t="s">
        <v>105</v>
      </c>
      <c r="BI1" s="3" t="s">
        <v>39</v>
      </c>
    </row>
    <row r="2" spans="1:66" x14ac:dyDescent="0.2">
      <c r="A2" t="s">
        <v>107</v>
      </c>
      <c r="B2">
        <v>1</v>
      </c>
      <c r="C2">
        <v>0</v>
      </c>
      <c r="D2">
        <v>62</v>
      </c>
      <c r="E2" t="s">
        <v>27</v>
      </c>
      <c r="F2" t="s">
        <v>2</v>
      </c>
      <c r="G2" t="s">
        <v>52</v>
      </c>
      <c r="H2" s="7">
        <v>41430</v>
      </c>
      <c r="I2" s="1">
        <v>24</v>
      </c>
      <c r="J2" s="1">
        <v>22</v>
      </c>
      <c r="K2" s="2">
        <v>16</v>
      </c>
      <c r="L2" s="2">
        <v>24</v>
      </c>
      <c r="M2" s="2">
        <f t="shared" ref="M2:M15" si="0">SQRT(I2*J2)</f>
        <v>22.978250586152114</v>
      </c>
      <c r="N2" s="2">
        <f t="shared" ref="N2:N15" si="1">(I2*J2*K2)/2</f>
        <v>4224</v>
      </c>
      <c r="O2" s="2">
        <v>2.9863</v>
      </c>
      <c r="P2" s="2">
        <v>2.9824000000000002</v>
      </c>
      <c r="Q2" s="2">
        <v>1</v>
      </c>
      <c r="R2" s="2">
        <v>1</v>
      </c>
      <c r="S2" s="2">
        <v>0</v>
      </c>
      <c r="T2" s="2">
        <v>1</v>
      </c>
      <c r="U2" s="2">
        <v>0</v>
      </c>
      <c r="V2" s="1">
        <v>1</v>
      </c>
      <c r="W2" s="1" t="s">
        <v>17</v>
      </c>
      <c r="X2" s="1">
        <v>1</v>
      </c>
      <c r="Y2" s="1" t="s">
        <v>36</v>
      </c>
      <c r="Z2" s="1" t="s">
        <v>11</v>
      </c>
      <c r="AA2" s="2">
        <v>0</v>
      </c>
      <c r="AB2" s="2">
        <v>0</v>
      </c>
      <c r="AC2" s="7">
        <v>42374</v>
      </c>
      <c r="AD2" s="2">
        <v>16</v>
      </c>
      <c r="AE2" s="2">
        <v>18</v>
      </c>
      <c r="AF2" s="2">
        <v>15</v>
      </c>
      <c r="AG2" s="2">
        <v>18</v>
      </c>
      <c r="AH2" s="2">
        <f t="shared" ref="AH2:AH15" si="2">SQRT(AD2*AE2)</f>
        <v>16.970562748477139</v>
      </c>
      <c r="AI2" s="2">
        <f t="shared" ref="AI2:AI15" si="3">(AD2*AE2*AF2)/2</f>
        <v>2160</v>
      </c>
      <c r="AJ2" s="2">
        <v>1.5129999999999999</v>
      </c>
      <c r="AK2" s="2">
        <v>1.3219000000000001</v>
      </c>
      <c r="AL2">
        <f t="shared" ref="AL2:AL15" si="4">(I2-AD2)</f>
        <v>8</v>
      </c>
      <c r="AM2">
        <f t="shared" ref="AM2:AM15" si="5">(J2-AE2)</f>
        <v>4</v>
      </c>
      <c r="AN2">
        <f t="shared" ref="AN2:AN15" si="6">(K2-AF2)</f>
        <v>1</v>
      </c>
      <c r="AO2">
        <v>3</v>
      </c>
      <c r="AP2">
        <f t="shared" ref="AP2:AP13" si="7">(N2-AI2)</f>
        <v>2064</v>
      </c>
      <c r="AQ2">
        <f t="shared" ref="AQ2:AQ15" si="8">O2-AJ2</f>
        <v>1.4733000000000001</v>
      </c>
      <c r="AR2" t="s">
        <v>27</v>
      </c>
      <c r="AS2" t="s">
        <v>2</v>
      </c>
      <c r="AT2">
        <v>1</v>
      </c>
      <c r="AU2" t="s">
        <v>52</v>
      </c>
      <c r="AV2">
        <v>0</v>
      </c>
      <c r="AW2" s="16">
        <f t="shared" ref="AW2:AW15" si="9">(AC2-H2)/365</f>
        <v>2.5863013698630137</v>
      </c>
      <c r="AX2">
        <v>4</v>
      </c>
      <c r="AY2">
        <f>AL2</f>
        <v>8</v>
      </c>
      <c r="AZ2">
        <f>(AL2/AW2)</f>
        <v>3.0932203389830506</v>
      </c>
      <c r="BA2">
        <f>(Table5[[#This Row],[axe décroissance brut]]/I2)*100</f>
        <v>33.333333333333329</v>
      </c>
      <c r="BB2">
        <f t="shared" ref="BB2:BB13" si="10">AP2/AW2</f>
        <v>798.05084745762713</v>
      </c>
      <c r="BC2">
        <f t="shared" ref="BC2:BC13" si="11">(AP2/N2)*100</f>
        <v>48.863636363636367</v>
      </c>
      <c r="BD2">
        <f t="shared" ref="BD2:BD15" si="12">AQ2/AW2</f>
        <v>0.56965519067796611</v>
      </c>
      <c r="BE2">
        <f t="shared" ref="BE2:BE15" si="13">(AQ2/O2)*100</f>
        <v>49.33529786022838</v>
      </c>
      <c r="BF2">
        <v>1</v>
      </c>
      <c r="BG2">
        <v>1</v>
      </c>
      <c r="BH2" t="s">
        <v>106</v>
      </c>
      <c r="BI2" t="s">
        <v>40</v>
      </c>
    </row>
    <row r="3" spans="1:66" x14ac:dyDescent="0.2">
      <c r="A3" t="s">
        <v>108</v>
      </c>
      <c r="B3">
        <v>2</v>
      </c>
      <c r="C3">
        <v>0</v>
      </c>
      <c r="D3">
        <v>74</v>
      </c>
      <c r="E3" t="s">
        <v>27</v>
      </c>
      <c r="F3" t="s">
        <v>2</v>
      </c>
      <c r="G3" t="s">
        <v>53</v>
      </c>
      <c r="H3" s="8">
        <v>42016</v>
      </c>
      <c r="I3" s="10">
        <v>25.7</v>
      </c>
      <c r="J3" s="10">
        <v>22.3</v>
      </c>
      <c r="K3" s="9">
        <v>29.7</v>
      </c>
      <c r="L3" s="9">
        <v>29.7</v>
      </c>
      <c r="M3" s="2">
        <f t="shared" si="0"/>
        <v>23.93971595487298</v>
      </c>
      <c r="N3" s="2">
        <f t="shared" si="1"/>
        <v>8510.6834999999992</v>
      </c>
      <c r="O3" s="2">
        <v>6.1256000000000004</v>
      </c>
      <c r="P3" s="2">
        <v>4.8163</v>
      </c>
      <c r="Q3" s="9">
        <v>1</v>
      </c>
      <c r="R3" s="9">
        <v>1</v>
      </c>
      <c r="S3" s="9">
        <v>0</v>
      </c>
      <c r="T3" s="9">
        <v>1</v>
      </c>
      <c r="U3" s="9">
        <v>0</v>
      </c>
      <c r="V3" s="9">
        <v>1</v>
      </c>
      <c r="W3" t="s">
        <v>34</v>
      </c>
      <c r="X3">
        <v>0</v>
      </c>
      <c r="Y3" t="s">
        <v>33</v>
      </c>
      <c r="Z3" t="s">
        <v>33</v>
      </c>
      <c r="AA3" t="s">
        <v>33</v>
      </c>
      <c r="AB3">
        <v>0</v>
      </c>
      <c r="AC3" s="11">
        <v>42696</v>
      </c>
      <c r="AD3">
        <v>23.6</v>
      </c>
      <c r="AE3">
        <v>21.7</v>
      </c>
      <c r="AF3">
        <v>27.5</v>
      </c>
      <c r="AG3">
        <v>27.5</v>
      </c>
      <c r="AH3" s="2">
        <f t="shared" si="2"/>
        <v>22.630068493047034</v>
      </c>
      <c r="AI3" s="2">
        <f t="shared" si="3"/>
        <v>7041.65</v>
      </c>
      <c r="AJ3" s="2">
        <v>5.3266</v>
      </c>
      <c r="AK3" s="2">
        <v>3.89</v>
      </c>
      <c r="AL3">
        <f t="shared" si="4"/>
        <v>2.0999999999999979</v>
      </c>
      <c r="AM3">
        <f t="shared" si="5"/>
        <v>0.60000000000000142</v>
      </c>
      <c r="AN3">
        <f t="shared" si="6"/>
        <v>2.1999999999999993</v>
      </c>
      <c r="AO3">
        <v>3</v>
      </c>
      <c r="AP3">
        <f t="shared" si="7"/>
        <v>1469.0334999999995</v>
      </c>
      <c r="AQ3">
        <f t="shared" si="8"/>
        <v>0.79900000000000038</v>
      </c>
      <c r="AR3" t="s">
        <v>27</v>
      </c>
      <c r="AS3" t="s">
        <v>2</v>
      </c>
      <c r="AT3">
        <v>0</v>
      </c>
      <c r="AU3" t="s">
        <v>53</v>
      </c>
      <c r="AV3">
        <v>0</v>
      </c>
      <c r="AW3" s="16">
        <f t="shared" si="9"/>
        <v>1.8630136986301369</v>
      </c>
      <c r="AX3">
        <v>3</v>
      </c>
      <c r="AY3">
        <f>AN3</f>
        <v>2.1999999999999993</v>
      </c>
      <c r="AZ3">
        <f>(AN3/AW3)</f>
        <v>1.1808823529411761</v>
      </c>
      <c r="BA3">
        <f>(AN3/K3)*100</f>
        <v>7.4074074074074057</v>
      </c>
      <c r="BB3">
        <f t="shared" si="10"/>
        <v>788.52533455882337</v>
      </c>
      <c r="BC3">
        <f t="shared" si="11"/>
        <v>17.261051947237842</v>
      </c>
      <c r="BD3">
        <f t="shared" si="12"/>
        <v>0.42887500000000023</v>
      </c>
      <c r="BE3">
        <f t="shared" si="13"/>
        <v>13.043620216795096</v>
      </c>
      <c r="BF3">
        <v>0</v>
      </c>
      <c r="BG3">
        <v>0</v>
      </c>
      <c r="BH3" t="s">
        <v>106</v>
      </c>
      <c r="BI3" t="s">
        <v>84</v>
      </c>
    </row>
    <row r="4" spans="1:66" x14ac:dyDescent="0.2">
      <c r="A4" t="s">
        <v>109</v>
      </c>
      <c r="B4">
        <v>3</v>
      </c>
      <c r="C4">
        <v>0</v>
      </c>
      <c r="D4">
        <v>51</v>
      </c>
      <c r="E4" t="s">
        <v>27</v>
      </c>
      <c r="F4" t="s">
        <v>30</v>
      </c>
      <c r="G4" t="s">
        <v>53</v>
      </c>
      <c r="H4" s="8">
        <v>40275</v>
      </c>
      <c r="I4">
        <v>7.6</v>
      </c>
      <c r="J4">
        <v>11.7</v>
      </c>
      <c r="K4">
        <v>7.6</v>
      </c>
      <c r="L4">
        <v>11.7</v>
      </c>
      <c r="M4" s="2">
        <f t="shared" si="0"/>
        <v>9.4297401873010251</v>
      </c>
      <c r="N4" s="2">
        <f t="shared" si="1"/>
        <v>337.89599999999996</v>
      </c>
      <c r="O4" s="2">
        <v>0.33260000000000001</v>
      </c>
      <c r="P4" s="2">
        <v>0.2838</v>
      </c>
      <c r="Q4">
        <v>1</v>
      </c>
      <c r="R4">
        <v>2.2000000000000002</v>
      </c>
      <c r="S4">
        <v>0</v>
      </c>
      <c r="T4">
        <v>1</v>
      </c>
      <c r="U4">
        <v>0</v>
      </c>
      <c r="V4">
        <v>0</v>
      </c>
      <c r="W4" t="s">
        <v>33</v>
      </c>
      <c r="X4" t="s">
        <v>33</v>
      </c>
      <c r="Y4" t="s">
        <v>33</v>
      </c>
      <c r="Z4" t="s">
        <v>11</v>
      </c>
      <c r="AA4" t="s">
        <v>41</v>
      </c>
      <c r="AB4">
        <v>1</v>
      </c>
      <c r="AC4" s="8">
        <v>41565</v>
      </c>
      <c r="AD4">
        <v>6.7</v>
      </c>
      <c r="AE4">
        <v>10.6</v>
      </c>
      <c r="AF4">
        <v>5.0999999999999996</v>
      </c>
      <c r="AG4">
        <v>10.6</v>
      </c>
      <c r="AH4" s="2">
        <f t="shared" si="2"/>
        <v>8.4273364712701486</v>
      </c>
      <c r="AI4" s="2">
        <f t="shared" si="3"/>
        <v>181.10099999999997</v>
      </c>
      <c r="AJ4" s="2">
        <v>0.23230000000000001</v>
      </c>
      <c r="AK4" s="2">
        <v>0.18709999999999999</v>
      </c>
      <c r="AL4">
        <f t="shared" si="4"/>
        <v>0.89999999999999947</v>
      </c>
      <c r="AM4">
        <f t="shared" si="5"/>
        <v>1.0999999999999996</v>
      </c>
      <c r="AN4">
        <f t="shared" si="6"/>
        <v>2.5</v>
      </c>
      <c r="AO4">
        <v>3</v>
      </c>
      <c r="AP4">
        <f t="shared" si="7"/>
        <v>156.79499999999999</v>
      </c>
      <c r="AQ4">
        <f t="shared" si="8"/>
        <v>0.1003</v>
      </c>
      <c r="AR4" t="s">
        <v>27</v>
      </c>
      <c r="AS4" t="s">
        <v>30</v>
      </c>
      <c r="AT4">
        <v>0</v>
      </c>
      <c r="AU4" t="s">
        <v>53</v>
      </c>
      <c r="AV4">
        <v>0</v>
      </c>
      <c r="AW4" s="16">
        <f t="shared" si="9"/>
        <v>3.5342465753424657</v>
      </c>
      <c r="AX4">
        <v>2</v>
      </c>
      <c r="AY4">
        <f>AN4</f>
        <v>2.5</v>
      </c>
      <c r="AZ4">
        <f>(AN4/AW4)</f>
        <v>0.70736434108527135</v>
      </c>
      <c r="BA4">
        <f>(AN4/K4)*100</f>
        <v>32.894736842105267</v>
      </c>
      <c r="BB4">
        <f t="shared" si="10"/>
        <v>44.364476744186042</v>
      </c>
      <c r="BC4">
        <f t="shared" si="11"/>
        <v>46.403331202500183</v>
      </c>
      <c r="BD4">
        <f t="shared" si="12"/>
        <v>2.8379457364341085E-2</v>
      </c>
      <c r="BE4">
        <f t="shared" si="13"/>
        <v>30.156343956704752</v>
      </c>
      <c r="BF4">
        <v>0</v>
      </c>
      <c r="BG4">
        <v>0</v>
      </c>
      <c r="BH4" t="s">
        <v>106</v>
      </c>
      <c r="BI4" t="s">
        <v>42</v>
      </c>
    </row>
    <row r="5" spans="1:66" x14ac:dyDescent="0.2">
      <c r="A5" t="s">
        <v>110</v>
      </c>
      <c r="B5">
        <v>4</v>
      </c>
      <c r="C5">
        <v>1</v>
      </c>
      <c r="D5">
        <v>72</v>
      </c>
      <c r="E5" t="s">
        <v>27</v>
      </c>
      <c r="F5" t="s">
        <v>30</v>
      </c>
      <c r="G5" t="s">
        <v>53</v>
      </c>
      <c r="H5" s="7">
        <v>39507</v>
      </c>
      <c r="I5" s="1">
        <v>3.5</v>
      </c>
      <c r="J5" s="1">
        <v>9.9</v>
      </c>
      <c r="K5" s="2">
        <v>3.7</v>
      </c>
      <c r="L5" s="2">
        <v>9.9</v>
      </c>
      <c r="M5" s="2">
        <f t="shared" si="0"/>
        <v>5.8864250611045748</v>
      </c>
      <c r="N5" s="2">
        <f t="shared" si="1"/>
        <v>64.102500000000006</v>
      </c>
      <c r="O5" s="2">
        <v>0.1074</v>
      </c>
      <c r="P5" s="2" t="s">
        <v>33</v>
      </c>
      <c r="Q5" s="2">
        <v>1</v>
      </c>
      <c r="R5" s="2">
        <v>1.2</v>
      </c>
      <c r="S5" s="2">
        <v>0</v>
      </c>
      <c r="T5" s="2">
        <v>1</v>
      </c>
      <c r="U5" s="2">
        <v>0</v>
      </c>
      <c r="V5" s="2">
        <v>0</v>
      </c>
      <c r="W5" t="s">
        <v>33</v>
      </c>
      <c r="X5">
        <v>0</v>
      </c>
      <c r="Y5" t="s">
        <v>33</v>
      </c>
      <c r="Z5" t="s">
        <v>11</v>
      </c>
      <c r="AA5" t="s">
        <v>41</v>
      </c>
      <c r="AB5">
        <v>1</v>
      </c>
      <c r="AC5" s="7">
        <v>42510</v>
      </c>
      <c r="AD5" s="2">
        <v>2.7</v>
      </c>
      <c r="AE5" s="2">
        <v>7.7</v>
      </c>
      <c r="AF5" s="2">
        <v>3</v>
      </c>
      <c r="AG5" s="2">
        <v>7.7</v>
      </c>
      <c r="AH5" s="2">
        <f t="shared" si="2"/>
        <v>4.5596052460711993</v>
      </c>
      <c r="AI5" s="2">
        <f t="shared" si="3"/>
        <v>31.185000000000002</v>
      </c>
      <c r="AJ5" s="2">
        <v>3.5400000000000001E-2</v>
      </c>
      <c r="AK5" s="2"/>
      <c r="AL5">
        <f t="shared" si="4"/>
        <v>0.79999999999999982</v>
      </c>
      <c r="AM5">
        <f t="shared" si="5"/>
        <v>2.2000000000000002</v>
      </c>
      <c r="AN5">
        <f t="shared" si="6"/>
        <v>0.70000000000000018</v>
      </c>
      <c r="AO5">
        <v>3</v>
      </c>
      <c r="AP5">
        <f t="shared" si="7"/>
        <v>32.917500000000004</v>
      </c>
      <c r="AQ5">
        <f t="shared" si="8"/>
        <v>7.1999999999999995E-2</v>
      </c>
      <c r="AR5" t="s">
        <v>27</v>
      </c>
      <c r="AS5" t="s">
        <v>2</v>
      </c>
      <c r="AT5">
        <v>0</v>
      </c>
      <c r="AU5" t="s">
        <v>53</v>
      </c>
      <c r="AV5">
        <v>0</v>
      </c>
      <c r="AW5" s="16">
        <f t="shared" si="9"/>
        <v>8.2273972602739729</v>
      </c>
      <c r="AX5">
        <v>6</v>
      </c>
      <c r="AY5" s="16">
        <f>AM5</f>
        <v>2.2000000000000002</v>
      </c>
      <c r="AZ5">
        <f>(AM5/AW5)</f>
        <v>0.26739926739926739</v>
      </c>
      <c r="BA5">
        <f>(AM5/J5)*100</f>
        <v>22.222222222222225</v>
      </c>
      <c r="BB5">
        <f t="shared" si="10"/>
        <v>4.0009615384615387</v>
      </c>
      <c r="BC5">
        <f t="shared" si="11"/>
        <v>51.351351351351347</v>
      </c>
      <c r="BD5">
        <f t="shared" si="12"/>
        <v>8.7512487512487504E-3</v>
      </c>
      <c r="BE5">
        <f t="shared" si="13"/>
        <v>67.039106145251395</v>
      </c>
      <c r="BF5">
        <v>0</v>
      </c>
      <c r="BG5">
        <v>0</v>
      </c>
      <c r="BH5" t="s">
        <v>106</v>
      </c>
    </row>
    <row r="6" spans="1:66" x14ac:dyDescent="0.2">
      <c r="A6" t="s">
        <v>111</v>
      </c>
      <c r="B6">
        <v>5</v>
      </c>
      <c r="C6">
        <v>0</v>
      </c>
      <c r="D6" s="13">
        <v>56</v>
      </c>
      <c r="E6" t="s">
        <v>27</v>
      </c>
      <c r="F6" t="s">
        <v>2</v>
      </c>
      <c r="G6" t="s">
        <v>52</v>
      </c>
      <c r="H6" s="7">
        <v>41283</v>
      </c>
      <c r="I6" s="1">
        <v>13.7</v>
      </c>
      <c r="J6" s="1">
        <v>19.5</v>
      </c>
      <c r="K6" s="1">
        <v>17.7</v>
      </c>
      <c r="L6" s="2">
        <v>19.5</v>
      </c>
      <c r="M6" s="2">
        <f t="shared" si="0"/>
        <v>16.344723919356973</v>
      </c>
      <c r="N6" s="2">
        <f t="shared" si="1"/>
        <v>2364.2774999999997</v>
      </c>
      <c r="O6" s="2">
        <v>1.3313999999999999</v>
      </c>
      <c r="P6" s="2">
        <v>1.2386999999999999</v>
      </c>
      <c r="Q6" s="2">
        <v>1</v>
      </c>
      <c r="R6" s="2">
        <v>8.6999999999999993</v>
      </c>
      <c r="S6" s="2">
        <v>0</v>
      </c>
      <c r="T6" s="2">
        <v>1</v>
      </c>
      <c r="U6" s="2">
        <v>0</v>
      </c>
      <c r="V6" s="2">
        <v>1</v>
      </c>
      <c r="W6" t="s">
        <v>34</v>
      </c>
      <c r="X6">
        <v>0</v>
      </c>
      <c r="Y6">
        <v>0</v>
      </c>
      <c r="Z6" t="s">
        <v>11</v>
      </c>
      <c r="AA6">
        <v>0</v>
      </c>
      <c r="AB6">
        <v>1</v>
      </c>
      <c r="AC6" s="7">
        <v>42716</v>
      </c>
      <c r="AD6" s="2">
        <v>13.8</v>
      </c>
      <c r="AE6" s="2">
        <v>19.5</v>
      </c>
      <c r="AF6" s="2">
        <v>15.5</v>
      </c>
      <c r="AG6" s="2">
        <v>19.5</v>
      </c>
      <c r="AH6" s="2">
        <f t="shared" si="2"/>
        <v>16.404267737390779</v>
      </c>
      <c r="AI6" s="2">
        <f t="shared" si="3"/>
        <v>2085.5250000000001</v>
      </c>
      <c r="AJ6" s="2">
        <v>1.1156999999999999</v>
      </c>
      <c r="AK6" s="2">
        <v>1.042</v>
      </c>
      <c r="AL6">
        <f t="shared" si="4"/>
        <v>-0.10000000000000142</v>
      </c>
      <c r="AM6">
        <f t="shared" si="5"/>
        <v>0</v>
      </c>
      <c r="AN6">
        <f t="shared" si="6"/>
        <v>2.1999999999999993</v>
      </c>
      <c r="AO6">
        <v>1</v>
      </c>
      <c r="AP6">
        <f t="shared" si="7"/>
        <v>278.7524999999996</v>
      </c>
      <c r="AQ6">
        <f t="shared" si="8"/>
        <v>0.2157</v>
      </c>
      <c r="AR6" t="s">
        <v>27</v>
      </c>
      <c r="AS6" t="s">
        <v>30</v>
      </c>
      <c r="AT6">
        <v>0</v>
      </c>
      <c r="AU6" t="s">
        <v>53</v>
      </c>
      <c r="AV6">
        <v>1</v>
      </c>
      <c r="AW6" s="16">
        <f t="shared" si="9"/>
        <v>3.9260273972602739</v>
      </c>
      <c r="AX6">
        <v>4</v>
      </c>
      <c r="AY6">
        <f>AN6</f>
        <v>2.1999999999999993</v>
      </c>
      <c r="AZ6">
        <f>AN6/AW6</f>
        <v>0.56036287508722937</v>
      </c>
      <c r="BA6">
        <f>(AN6/K6)*100</f>
        <v>12.429378531073443</v>
      </c>
      <c r="BB6">
        <f t="shared" si="10"/>
        <v>71.001160153523969</v>
      </c>
      <c r="BC6">
        <f t="shared" si="11"/>
        <v>11.790176914511923</v>
      </c>
      <c r="BD6">
        <f t="shared" si="12"/>
        <v>5.4941032798325191E-2</v>
      </c>
      <c r="BE6">
        <f t="shared" si="13"/>
        <v>16.200991437584499</v>
      </c>
      <c r="BF6">
        <v>1</v>
      </c>
      <c r="BG6">
        <v>0</v>
      </c>
      <c r="BH6" t="s">
        <v>106</v>
      </c>
    </row>
    <row r="7" spans="1:66" x14ac:dyDescent="0.2">
      <c r="A7" t="s">
        <v>112</v>
      </c>
      <c r="B7">
        <v>6</v>
      </c>
      <c r="C7">
        <v>0</v>
      </c>
      <c r="D7">
        <v>60</v>
      </c>
      <c r="E7" s="13" t="s">
        <v>43</v>
      </c>
      <c r="F7" t="s">
        <v>2</v>
      </c>
      <c r="G7" t="s">
        <v>56</v>
      </c>
      <c r="H7" s="7">
        <v>40381</v>
      </c>
      <c r="I7" s="1">
        <v>15</v>
      </c>
      <c r="J7" s="1">
        <v>14.9</v>
      </c>
      <c r="K7" s="2">
        <v>16.5</v>
      </c>
      <c r="L7" s="2">
        <v>16.5</v>
      </c>
      <c r="M7" s="2">
        <f t="shared" si="0"/>
        <v>14.949916387726054</v>
      </c>
      <c r="N7" s="2">
        <f t="shared" si="1"/>
        <v>1843.875</v>
      </c>
      <c r="O7" s="2">
        <v>1.2967</v>
      </c>
      <c r="P7" s="2">
        <v>0.81200000000000006</v>
      </c>
      <c r="Q7" s="2">
        <v>0</v>
      </c>
      <c r="R7" s="2">
        <v>0</v>
      </c>
      <c r="S7" s="2">
        <v>0</v>
      </c>
      <c r="T7" s="13">
        <v>0</v>
      </c>
      <c r="U7" s="13">
        <v>0</v>
      </c>
      <c r="V7" s="2">
        <v>0</v>
      </c>
      <c r="W7" t="s">
        <v>33</v>
      </c>
      <c r="X7">
        <v>0</v>
      </c>
      <c r="Y7" t="s">
        <v>33</v>
      </c>
      <c r="Z7" t="s">
        <v>11</v>
      </c>
      <c r="AA7">
        <v>0</v>
      </c>
      <c r="AB7" t="s">
        <v>33</v>
      </c>
      <c r="AC7" s="7">
        <v>42576</v>
      </c>
      <c r="AD7" s="2">
        <v>13.4</v>
      </c>
      <c r="AE7" s="2">
        <v>13.5</v>
      </c>
      <c r="AF7" s="2">
        <v>14</v>
      </c>
      <c r="AG7" s="2">
        <v>14</v>
      </c>
      <c r="AH7" s="2">
        <f t="shared" si="2"/>
        <v>13.449907062875937</v>
      </c>
      <c r="AI7" s="2">
        <f t="shared" si="3"/>
        <v>1266.3</v>
      </c>
      <c r="AJ7" s="2">
        <v>0.82089999999999996</v>
      </c>
      <c r="AK7" s="2">
        <v>0.76670000000000005</v>
      </c>
      <c r="AL7">
        <f t="shared" si="4"/>
        <v>1.5999999999999996</v>
      </c>
      <c r="AM7">
        <f t="shared" si="5"/>
        <v>1.4000000000000004</v>
      </c>
      <c r="AN7">
        <f t="shared" si="6"/>
        <v>2.5</v>
      </c>
      <c r="AO7">
        <v>3</v>
      </c>
      <c r="AP7">
        <f t="shared" si="7"/>
        <v>577.57500000000005</v>
      </c>
      <c r="AQ7">
        <f t="shared" si="8"/>
        <v>0.4758</v>
      </c>
      <c r="AR7" t="s">
        <v>43</v>
      </c>
      <c r="AS7" t="s">
        <v>30</v>
      </c>
      <c r="AT7">
        <v>0</v>
      </c>
      <c r="AU7" t="s">
        <v>56</v>
      </c>
      <c r="AV7">
        <v>0</v>
      </c>
      <c r="AW7" s="16">
        <f t="shared" si="9"/>
        <v>6.0136986301369859</v>
      </c>
      <c r="AX7">
        <v>4</v>
      </c>
      <c r="AY7">
        <f>AN7</f>
        <v>2.5</v>
      </c>
      <c r="AZ7">
        <f>AN7/AW7</f>
        <v>0.41571753986332577</v>
      </c>
      <c r="BA7">
        <f>(AN7/K7)*100</f>
        <v>15.151515151515152</v>
      </c>
      <c r="BB7">
        <f t="shared" si="10"/>
        <v>96.043223234624165</v>
      </c>
      <c r="BC7">
        <f t="shared" si="11"/>
        <v>31.323978035387434</v>
      </c>
      <c r="BD7">
        <f t="shared" si="12"/>
        <v>7.9119362186788167E-2</v>
      </c>
      <c r="BE7">
        <f t="shared" si="13"/>
        <v>36.693144135112213</v>
      </c>
      <c r="BF7">
        <v>0</v>
      </c>
      <c r="BG7">
        <v>0</v>
      </c>
      <c r="BH7" t="s">
        <v>106</v>
      </c>
      <c r="BI7" t="s">
        <v>85</v>
      </c>
    </row>
    <row r="8" spans="1:66" ht="16" x14ac:dyDescent="0.2">
      <c r="A8" t="s">
        <v>113</v>
      </c>
      <c r="B8">
        <v>7</v>
      </c>
      <c r="C8">
        <v>1</v>
      </c>
      <c r="D8">
        <v>44</v>
      </c>
      <c r="E8" s="13" t="s">
        <v>47</v>
      </c>
      <c r="F8" t="s">
        <v>48</v>
      </c>
      <c r="G8" t="s">
        <v>53</v>
      </c>
      <c r="H8" s="14">
        <v>41708</v>
      </c>
      <c r="I8" s="1">
        <v>6.8</v>
      </c>
      <c r="J8" s="1">
        <v>10.7</v>
      </c>
      <c r="K8" s="2">
        <v>6.2</v>
      </c>
      <c r="L8" s="2">
        <v>10.7</v>
      </c>
      <c r="M8" s="2">
        <f t="shared" si="0"/>
        <v>8.5299472448544478</v>
      </c>
      <c r="N8" s="2">
        <f t="shared" si="1"/>
        <v>225.55599999999998</v>
      </c>
      <c r="O8" s="2">
        <v>0.21629999999999999</v>
      </c>
      <c r="P8" s="2">
        <v>0.23</v>
      </c>
      <c r="Q8" s="2">
        <v>1</v>
      </c>
      <c r="R8" s="2">
        <v>3.6</v>
      </c>
      <c r="S8" s="2">
        <v>0</v>
      </c>
      <c r="T8" s="2">
        <v>1</v>
      </c>
      <c r="U8" s="2">
        <v>0</v>
      </c>
      <c r="V8" s="2">
        <v>0</v>
      </c>
      <c r="W8" t="s">
        <v>33</v>
      </c>
      <c r="X8" t="s">
        <v>33</v>
      </c>
      <c r="Y8" t="s">
        <v>33</v>
      </c>
      <c r="Z8" t="s">
        <v>11</v>
      </c>
      <c r="AA8" t="s">
        <v>41</v>
      </c>
      <c r="AB8">
        <v>1</v>
      </c>
      <c r="AC8" s="7">
        <v>42823</v>
      </c>
      <c r="AD8" s="1">
        <v>5.6</v>
      </c>
      <c r="AE8" s="2">
        <v>8.6</v>
      </c>
      <c r="AF8" s="2">
        <v>5.6</v>
      </c>
      <c r="AG8" s="2">
        <v>8.6</v>
      </c>
      <c r="AH8" s="2">
        <f t="shared" si="2"/>
        <v>6.9397406291589885</v>
      </c>
      <c r="AI8" s="2">
        <f t="shared" si="3"/>
        <v>134.84799999999998</v>
      </c>
      <c r="AJ8" s="2">
        <v>0.1072</v>
      </c>
      <c r="AK8" s="2">
        <v>0.1196</v>
      </c>
      <c r="AL8">
        <f t="shared" si="4"/>
        <v>1.2000000000000002</v>
      </c>
      <c r="AM8">
        <f t="shared" si="5"/>
        <v>2.0999999999999996</v>
      </c>
      <c r="AN8">
        <f t="shared" si="6"/>
        <v>0.60000000000000053</v>
      </c>
      <c r="AO8">
        <v>3</v>
      </c>
      <c r="AP8">
        <f t="shared" si="7"/>
        <v>90.707999999999998</v>
      </c>
      <c r="AQ8">
        <f t="shared" si="8"/>
        <v>0.10909999999999999</v>
      </c>
      <c r="AR8" t="s">
        <v>47</v>
      </c>
      <c r="AS8" t="s">
        <v>48</v>
      </c>
      <c r="AT8">
        <v>0</v>
      </c>
      <c r="AU8" t="s">
        <v>53</v>
      </c>
      <c r="AV8">
        <v>0</v>
      </c>
      <c r="AW8" s="16">
        <f t="shared" si="9"/>
        <v>3.0547945205479454</v>
      </c>
      <c r="AX8">
        <v>2</v>
      </c>
      <c r="AY8">
        <f>AM8</f>
        <v>2.0999999999999996</v>
      </c>
      <c r="AZ8">
        <f>AM8/AW8</f>
        <v>0.68744394618834059</v>
      </c>
      <c r="BA8">
        <f>(AM8/J8)*100</f>
        <v>19.626168224299061</v>
      </c>
      <c r="BB8">
        <f t="shared" si="10"/>
        <v>29.693650224215244</v>
      </c>
      <c r="BC8">
        <f t="shared" si="11"/>
        <v>40.215290216176918</v>
      </c>
      <c r="BD8">
        <f t="shared" si="12"/>
        <v>3.5714349775784748E-2</v>
      </c>
      <c r="BE8">
        <f t="shared" si="13"/>
        <v>50.439204808136836</v>
      </c>
      <c r="BF8">
        <v>0</v>
      </c>
      <c r="BG8">
        <v>0</v>
      </c>
      <c r="BH8" t="s">
        <v>106</v>
      </c>
    </row>
    <row r="9" spans="1:66" x14ac:dyDescent="0.2">
      <c r="A9" t="s">
        <v>114</v>
      </c>
      <c r="B9">
        <v>8</v>
      </c>
      <c r="C9">
        <v>1</v>
      </c>
      <c r="D9" s="13">
        <v>53</v>
      </c>
      <c r="E9" s="13" t="s">
        <v>47</v>
      </c>
      <c r="F9" t="s">
        <v>48</v>
      </c>
      <c r="G9" t="s">
        <v>53</v>
      </c>
      <c r="H9" s="7">
        <v>39752</v>
      </c>
      <c r="I9" s="2">
        <v>4.2</v>
      </c>
      <c r="J9" s="2">
        <v>10.8</v>
      </c>
      <c r="K9" s="2">
        <v>4.2</v>
      </c>
      <c r="L9" s="2">
        <v>10.8</v>
      </c>
      <c r="M9" s="2">
        <f t="shared" si="0"/>
        <v>6.7349832961930947</v>
      </c>
      <c r="N9" s="2">
        <f t="shared" si="1"/>
        <v>95.256000000000014</v>
      </c>
      <c r="O9" s="2">
        <v>7.0199999999999999E-2</v>
      </c>
      <c r="P9" s="2">
        <v>4.2900000000000001E-2</v>
      </c>
      <c r="Q9" s="2">
        <v>1</v>
      </c>
      <c r="R9" s="2">
        <v>1</v>
      </c>
      <c r="S9" s="2">
        <v>0</v>
      </c>
      <c r="T9" s="2">
        <v>1</v>
      </c>
      <c r="U9" s="2">
        <v>0</v>
      </c>
      <c r="V9" s="2">
        <v>0</v>
      </c>
      <c r="W9" t="s">
        <v>33</v>
      </c>
      <c r="X9">
        <v>0</v>
      </c>
      <c r="Y9" t="s">
        <v>33</v>
      </c>
      <c r="Z9" t="s">
        <v>11</v>
      </c>
      <c r="AA9" t="s">
        <v>41</v>
      </c>
      <c r="AB9">
        <v>1</v>
      </c>
      <c r="AC9" s="7">
        <v>42881</v>
      </c>
      <c r="AD9" s="2">
        <v>4.2</v>
      </c>
      <c r="AE9" s="2">
        <v>8.6</v>
      </c>
      <c r="AF9" s="2">
        <v>4.4000000000000004</v>
      </c>
      <c r="AG9" s="2">
        <v>8.6</v>
      </c>
      <c r="AH9" s="2">
        <f t="shared" si="2"/>
        <v>6.0099916805266878</v>
      </c>
      <c r="AI9" s="2">
        <f t="shared" si="3"/>
        <v>79.463999999999999</v>
      </c>
      <c r="AJ9" s="2">
        <v>1.9800000000000002E-2</v>
      </c>
      <c r="AK9" s="18">
        <v>6.25E-2</v>
      </c>
      <c r="AL9">
        <f t="shared" si="4"/>
        <v>0</v>
      </c>
      <c r="AM9">
        <f t="shared" si="5"/>
        <v>2.2000000000000011</v>
      </c>
      <c r="AN9">
        <f t="shared" si="6"/>
        <v>-0.20000000000000018</v>
      </c>
      <c r="AO9">
        <v>1</v>
      </c>
      <c r="AP9">
        <f t="shared" si="7"/>
        <v>15.792000000000016</v>
      </c>
      <c r="AQ9">
        <f t="shared" si="8"/>
        <v>5.04E-2</v>
      </c>
      <c r="AR9" t="s">
        <v>47</v>
      </c>
      <c r="AS9" t="s">
        <v>48</v>
      </c>
      <c r="AT9">
        <v>0</v>
      </c>
      <c r="AU9" t="s">
        <v>53</v>
      </c>
      <c r="AV9">
        <v>0</v>
      </c>
      <c r="AW9" s="16">
        <f t="shared" si="9"/>
        <v>8.5726027397260278</v>
      </c>
      <c r="AX9">
        <v>6</v>
      </c>
      <c r="AY9">
        <f>AM9</f>
        <v>2.2000000000000011</v>
      </c>
      <c r="AZ9">
        <f>AM9/AW9</f>
        <v>0.25663151166506881</v>
      </c>
      <c r="BA9">
        <f>(AM9/J9)*100</f>
        <v>20.370370370370377</v>
      </c>
      <c r="BB9">
        <f t="shared" si="10"/>
        <v>1.8421476510067132</v>
      </c>
      <c r="BC9">
        <f t="shared" si="11"/>
        <v>16.578483245149926</v>
      </c>
      <c r="BD9">
        <f t="shared" si="12"/>
        <v>5.8791946308724826E-3</v>
      </c>
      <c r="BE9">
        <f t="shared" si="13"/>
        <v>71.794871794871796</v>
      </c>
      <c r="BF9">
        <v>0</v>
      </c>
      <c r="BG9">
        <v>0</v>
      </c>
      <c r="BH9" t="s">
        <v>106</v>
      </c>
      <c r="BI9" t="s">
        <v>50</v>
      </c>
      <c r="BN9" t="s">
        <v>86</v>
      </c>
    </row>
    <row r="10" spans="1:66" x14ac:dyDescent="0.2">
      <c r="A10" t="s">
        <v>115</v>
      </c>
      <c r="B10">
        <v>9</v>
      </c>
      <c r="C10">
        <v>0</v>
      </c>
      <c r="D10" s="13">
        <v>64</v>
      </c>
      <c r="E10" s="13" t="s">
        <v>27</v>
      </c>
      <c r="F10" t="s">
        <v>2</v>
      </c>
      <c r="G10" t="s">
        <v>53</v>
      </c>
      <c r="H10" s="7">
        <v>40416</v>
      </c>
      <c r="I10" s="2">
        <v>19.399999999999999</v>
      </c>
      <c r="J10" s="2">
        <v>23.6</v>
      </c>
      <c r="K10" s="2">
        <v>18.5</v>
      </c>
      <c r="L10" s="2">
        <v>23.6</v>
      </c>
      <c r="M10" s="2">
        <f t="shared" si="0"/>
        <v>21.397196077991154</v>
      </c>
      <c r="N10" s="2">
        <f t="shared" si="1"/>
        <v>4235.0199999999995</v>
      </c>
      <c r="O10" s="2">
        <v>1.7974000000000001</v>
      </c>
      <c r="P10" s="2"/>
      <c r="Q10" s="2">
        <v>1</v>
      </c>
      <c r="R10" s="2">
        <v>2.5</v>
      </c>
      <c r="S10" s="2">
        <v>0</v>
      </c>
      <c r="T10" s="2">
        <v>1</v>
      </c>
      <c r="U10" s="2">
        <v>0</v>
      </c>
      <c r="V10" s="2">
        <v>0</v>
      </c>
      <c r="W10" t="s">
        <v>33</v>
      </c>
      <c r="X10">
        <v>0</v>
      </c>
      <c r="Y10" t="s">
        <v>33</v>
      </c>
      <c r="Z10" t="s">
        <v>11</v>
      </c>
      <c r="AA10">
        <v>0</v>
      </c>
      <c r="AB10">
        <v>1</v>
      </c>
      <c r="AC10" s="7">
        <v>43061</v>
      </c>
      <c r="AD10" s="2">
        <v>19.100000000000001</v>
      </c>
      <c r="AE10" s="2">
        <v>18.399999999999999</v>
      </c>
      <c r="AF10" s="2">
        <v>19.899999999999999</v>
      </c>
      <c r="AG10" s="2">
        <v>19.899999999999999</v>
      </c>
      <c r="AH10" s="2">
        <f t="shared" si="2"/>
        <v>18.746733048720781</v>
      </c>
      <c r="AI10" s="2">
        <f t="shared" si="3"/>
        <v>3496.8279999999995</v>
      </c>
      <c r="AJ10" s="2">
        <v>1.4882</v>
      </c>
      <c r="AK10" s="2"/>
      <c r="AL10">
        <f t="shared" si="4"/>
        <v>0.29999999999999716</v>
      </c>
      <c r="AM10">
        <f t="shared" si="5"/>
        <v>5.2000000000000028</v>
      </c>
      <c r="AN10">
        <f t="shared" si="6"/>
        <v>-1.3999999999999986</v>
      </c>
      <c r="AO10">
        <v>2</v>
      </c>
      <c r="AP10">
        <f t="shared" si="7"/>
        <v>738.19200000000001</v>
      </c>
      <c r="AQ10">
        <f t="shared" si="8"/>
        <v>0.30920000000000014</v>
      </c>
      <c r="AR10" t="s">
        <v>27</v>
      </c>
      <c r="AS10" t="s">
        <v>2</v>
      </c>
      <c r="AT10">
        <v>1</v>
      </c>
      <c r="AU10" t="s">
        <v>53</v>
      </c>
      <c r="AV10">
        <v>0</v>
      </c>
      <c r="AW10" s="16">
        <f t="shared" si="9"/>
        <v>7.2465753424657535</v>
      </c>
      <c r="AX10">
        <v>9</v>
      </c>
      <c r="AY10">
        <f>AM10</f>
        <v>5.2000000000000028</v>
      </c>
      <c r="AZ10">
        <f>AM10/AW10</f>
        <v>0.71758034026465067</v>
      </c>
      <c r="BA10">
        <f>(AM10/J10)*100</f>
        <v>22.033898305084758</v>
      </c>
      <c r="BB10">
        <f t="shared" si="10"/>
        <v>101.86770510396975</v>
      </c>
      <c r="BC10">
        <f t="shared" si="11"/>
        <v>17.430661484479415</v>
      </c>
      <c r="BD10">
        <f t="shared" si="12"/>
        <v>4.2668431001890376E-2</v>
      </c>
      <c r="BE10">
        <f t="shared" si="13"/>
        <v>17.20262601535552</v>
      </c>
      <c r="BF10">
        <v>0</v>
      </c>
      <c r="BG10">
        <v>0</v>
      </c>
    </row>
    <row r="11" spans="1:66" x14ac:dyDescent="0.2">
      <c r="A11" t="s">
        <v>116</v>
      </c>
      <c r="B11">
        <v>10</v>
      </c>
      <c r="C11">
        <v>0</v>
      </c>
      <c r="D11" s="13">
        <v>59</v>
      </c>
      <c r="E11" s="13" t="s">
        <v>27</v>
      </c>
      <c r="F11" t="s">
        <v>2</v>
      </c>
      <c r="G11" t="s">
        <v>53</v>
      </c>
      <c r="H11" s="7">
        <v>38765</v>
      </c>
      <c r="I11" s="2">
        <v>14.7</v>
      </c>
      <c r="J11" s="2">
        <v>17</v>
      </c>
      <c r="K11" s="2">
        <v>16.899999999999999</v>
      </c>
      <c r="L11" s="2">
        <v>17</v>
      </c>
      <c r="M11" s="2">
        <f t="shared" si="0"/>
        <v>15.808225706890701</v>
      </c>
      <c r="N11" s="2">
        <f t="shared" si="1"/>
        <v>2111.6549999999997</v>
      </c>
      <c r="O11" s="2">
        <v>1.5154000000000001</v>
      </c>
      <c r="P11" s="2">
        <v>1.1859999999999999</v>
      </c>
      <c r="Q11" s="2">
        <v>1</v>
      </c>
      <c r="R11" s="2">
        <v>3.3</v>
      </c>
      <c r="S11" s="2">
        <v>0</v>
      </c>
      <c r="T11" s="2">
        <v>1</v>
      </c>
      <c r="U11" s="2">
        <v>0</v>
      </c>
      <c r="V11" s="2">
        <v>0</v>
      </c>
      <c r="W11" t="s">
        <v>33</v>
      </c>
      <c r="X11">
        <v>0</v>
      </c>
      <c r="Y11" t="s">
        <v>33</v>
      </c>
      <c r="Z11" t="s">
        <v>11</v>
      </c>
      <c r="AA11">
        <v>0</v>
      </c>
      <c r="AB11">
        <v>0</v>
      </c>
      <c r="AC11" s="7">
        <v>43045</v>
      </c>
      <c r="AD11" s="2">
        <v>10.6</v>
      </c>
      <c r="AE11" s="2">
        <v>12.8</v>
      </c>
      <c r="AF11" s="2">
        <v>12.3</v>
      </c>
      <c r="AG11" s="2">
        <v>12.8</v>
      </c>
      <c r="AH11" s="2">
        <f t="shared" si="2"/>
        <v>11.648175822848829</v>
      </c>
      <c r="AI11" s="2">
        <f t="shared" si="3"/>
        <v>834.43200000000013</v>
      </c>
      <c r="AJ11" s="2">
        <v>0.56010000000000004</v>
      </c>
      <c r="AK11" s="2">
        <v>0.29880000000000001</v>
      </c>
      <c r="AL11">
        <f t="shared" si="4"/>
        <v>4.0999999999999996</v>
      </c>
      <c r="AM11">
        <f t="shared" si="5"/>
        <v>4.1999999999999993</v>
      </c>
      <c r="AN11">
        <f t="shared" si="6"/>
        <v>4.5999999999999979</v>
      </c>
      <c r="AO11">
        <v>3</v>
      </c>
      <c r="AP11">
        <f t="shared" si="7"/>
        <v>1277.2229999999995</v>
      </c>
      <c r="AQ11">
        <f t="shared" si="8"/>
        <v>0.95530000000000004</v>
      </c>
      <c r="AR11" t="s">
        <v>27</v>
      </c>
      <c r="AS11" t="s">
        <v>30</v>
      </c>
      <c r="AT11">
        <v>0</v>
      </c>
      <c r="AU11" t="s">
        <v>53</v>
      </c>
      <c r="AV11">
        <v>0</v>
      </c>
      <c r="AW11" s="16">
        <f t="shared" si="9"/>
        <v>11.726027397260275</v>
      </c>
      <c r="AX11">
        <v>5</v>
      </c>
      <c r="AY11">
        <f>AN11</f>
        <v>4.5999999999999979</v>
      </c>
      <c r="AZ11">
        <f>AN11/AW11</f>
        <v>0.39228971962616804</v>
      </c>
      <c r="BA11">
        <f>(AN11/K11)*100</f>
        <v>27.218934911242592</v>
      </c>
      <c r="BB11">
        <f t="shared" si="10"/>
        <v>108.922054906542</v>
      </c>
      <c r="BC11">
        <f t="shared" si="11"/>
        <v>60.484454136684242</v>
      </c>
      <c r="BD11">
        <f t="shared" si="12"/>
        <v>8.1468341121495327E-2</v>
      </c>
      <c r="BE11">
        <f t="shared" si="13"/>
        <v>63.03946152830936</v>
      </c>
      <c r="BF11">
        <v>0</v>
      </c>
      <c r="BG11">
        <v>0</v>
      </c>
    </row>
    <row r="12" spans="1:66" x14ac:dyDescent="0.2">
      <c r="A12" t="s">
        <v>117</v>
      </c>
      <c r="B12">
        <v>11</v>
      </c>
      <c r="C12">
        <v>1</v>
      </c>
      <c r="D12" s="13">
        <v>60</v>
      </c>
      <c r="E12" s="13" t="s">
        <v>27</v>
      </c>
      <c r="F12" t="s">
        <v>2</v>
      </c>
      <c r="G12" t="s">
        <v>53</v>
      </c>
      <c r="H12" s="7">
        <v>41810</v>
      </c>
      <c r="I12" s="2">
        <v>19.3</v>
      </c>
      <c r="J12" s="2">
        <v>23.8</v>
      </c>
      <c r="K12" s="2">
        <v>23.3</v>
      </c>
      <c r="L12" s="2">
        <v>23.8</v>
      </c>
      <c r="M12" s="2">
        <f t="shared" si="0"/>
        <v>21.432218737218975</v>
      </c>
      <c r="N12" s="2">
        <f t="shared" si="1"/>
        <v>5351.3110000000006</v>
      </c>
      <c r="O12" s="2">
        <v>3.4706000000000001</v>
      </c>
      <c r="P12" s="2">
        <v>3.7334000000000001</v>
      </c>
      <c r="Q12" s="2">
        <v>1</v>
      </c>
      <c r="R12" s="2">
        <v>2.2999999999999998</v>
      </c>
      <c r="S12" s="2">
        <v>0</v>
      </c>
      <c r="T12" s="2">
        <v>1</v>
      </c>
      <c r="U12" s="2">
        <v>0</v>
      </c>
      <c r="V12" s="2">
        <v>0</v>
      </c>
      <c r="W12" t="s">
        <v>33</v>
      </c>
      <c r="X12">
        <v>0</v>
      </c>
      <c r="Y12" t="s">
        <v>33</v>
      </c>
      <c r="Z12" t="s">
        <v>11</v>
      </c>
      <c r="AA12">
        <v>0</v>
      </c>
      <c r="AB12">
        <v>1</v>
      </c>
      <c r="AC12" s="7">
        <v>43089</v>
      </c>
      <c r="AD12" s="2">
        <v>15.4</v>
      </c>
      <c r="AE12" s="2">
        <v>17.899999999999999</v>
      </c>
      <c r="AF12" s="2">
        <v>19.2</v>
      </c>
      <c r="AG12" s="2">
        <v>19.2</v>
      </c>
      <c r="AH12" s="2">
        <f t="shared" si="2"/>
        <v>16.603011774976249</v>
      </c>
      <c r="AI12" s="2">
        <f t="shared" si="3"/>
        <v>2646.3359999999998</v>
      </c>
      <c r="AJ12" s="2">
        <v>2.0276999999999998</v>
      </c>
      <c r="AK12" s="2">
        <v>1.6</v>
      </c>
      <c r="AL12">
        <f t="shared" si="4"/>
        <v>3.9000000000000004</v>
      </c>
      <c r="AM12">
        <f t="shared" si="5"/>
        <v>5.9000000000000021</v>
      </c>
      <c r="AN12">
        <f t="shared" si="6"/>
        <v>4.1000000000000014</v>
      </c>
      <c r="AO12">
        <v>3</v>
      </c>
      <c r="AP12">
        <f t="shared" si="7"/>
        <v>2704.9750000000008</v>
      </c>
      <c r="AQ12">
        <f t="shared" si="8"/>
        <v>1.4429000000000003</v>
      </c>
      <c r="AR12" t="s">
        <v>27</v>
      </c>
      <c r="AS12" t="s">
        <v>2</v>
      </c>
      <c r="AT12">
        <v>0</v>
      </c>
      <c r="AU12" t="s">
        <v>53</v>
      </c>
      <c r="AV12">
        <v>0</v>
      </c>
      <c r="AW12" s="16">
        <f t="shared" si="9"/>
        <v>3.504109589041096</v>
      </c>
      <c r="AX12">
        <v>3</v>
      </c>
      <c r="AY12">
        <f>AM12</f>
        <v>5.9000000000000021</v>
      </c>
      <c r="AZ12">
        <f>AN12/AW12</f>
        <v>1.1700547302580144</v>
      </c>
      <c r="BA12">
        <f>(Table5[[#This Row],[axe décroissance brut]]/K12)*100</f>
        <v>25.321888412017174</v>
      </c>
      <c r="BB12">
        <f t="shared" si="10"/>
        <v>771.94360828772494</v>
      </c>
      <c r="BC12">
        <f t="shared" si="11"/>
        <v>50.547893777805108</v>
      </c>
      <c r="BD12">
        <f t="shared" si="12"/>
        <v>0.41177365129007043</v>
      </c>
      <c r="BE12">
        <f t="shared" si="13"/>
        <v>41.57494381374979</v>
      </c>
      <c r="BF12">
        <v>0</v>
      </c>
      <c r="BG12">
        <v>0</v>
      </c>
      <c r="BI12" t="s">
        <v>87</v>
      </c>
    </row>
    <row r="13" spans="1:66" x14ac:dyDescent="0.2">
      <c r="A13" t="s">
        <v>118</v>
      </c>
      <c r="B13">
        <v>12</v>
      </c>
      <c r="C13">
        <v>1</v>
      </c>
      <c r="D13" s="13"/>
      <c r="E13" s="13" t="s">
        <v>27</v>
      </c>
      <c r="F13" t="s">
        <v>2</v>
      </c>
      <c r="G13" t="s">
        <v>52</v>
      </c>
      <c r="H13" s="7">
        <v>42401</v>
      </c>
      <c r="I13" s="2">
        <v>15.6</v>
      </c>
      <c r="J13" s="2">
        <v>19.8</v>
      </c>
      <c r="K13" s="2">
        <v>13.4</v>
      </c>
      <c r="L13" s="2">
        <v>19.8</v>
      </c>
      <c r="M13" s="2">
        <f t="shared" si="0"/>
        <v>17.574982219052171</v>
      </c>
      <c r="N13" s="2">
        <f t="shared" si="1"/>
        <v>2069.4960000000001</v>
      </c>
      <c r="O13" s="2">
        <v>1.3398000000000001</v>
      </c>
      <c r="P13" s="2"/>
      <c r="Q13" s="2">
        <v>1</v>
      </c>
      <c r="R13" s="2">
        <v>4.2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t="s">
        <v>33</v>
      </c>
      <c r="Y13" t="s">
        <v>33</v>
      </c>
      <c r="Z13" t="s">
        <v>11</v>
      </c>
      <c r="AA13">
        <v>0</v>
      </c>
      <c r="AB13">
        <v>1</v>
      </c>
      <c r="AC13" s="7">
        <v>43076</v>
      </c>
      <c r="AD13" s="2">
        <v>12.7</v>
      </c>
      <c r="AE13" s="2">
        <v>16</v>
      </c>
      <c r="AF13" s="2">
        <v>10.199999999999999</v>
      </c>
      <c r="AG13" s="2">
        <v>16</v>
      </c>
      <c r="AH13" s="2">
        <f t="shared" si="2"/>
        <v>14.254823744964369</v>
      </c>
      <c r="AI13" s="2">
        <f t="shared" si="3"/>
        <v>1036.32</v>
      </c>
      <c r="AJ13" s="2">
        <v>0.55220000000000002</v>
      </c>
      <c r="AK13" s="2"/>
      <c r="AL13">
        <f t="shared" si="4"/>
        <v>2.9000000000000004</v>
      </c>
      <c r="AM13">
        <f t="shared" si="5"/>
        <v>3.8000000000000007</v>
      </c>
      <c r="AN13">
        <f t="shared" si="6"/>
        <v>3.2000000000000011</v>
      </c>
      <c r="AO13">
        <v>3</v>
      </c>
      <c r="AP13">
        <f t="shared" si="7"/>
        <v>1033.1760000000002</v>
      </c>
      <c r="AQ13">
        <f t="shared" si="8"/>
        <v>0.78760000000000008</v>
      </c>
      <c r="AR13" t="s">
        <v>27</v>
      </c>
      <c r="AS13" t="s">
        <v>30</v>
      </c>
      <c r="AT13">
        <v>0</v>
      </c>
      <c r="AU13" t="s">
        <v>53</v>
      </c>
      <c r="AV13">
        <v>1</v>
      </c>
      <c r="AW13" s="16">
        <f t="shared" si="9"/>
        <v>1.8493150684931507</v>
      </c>
      <c r="AX13">
        <v>3</v>
      </c>
      <c r="AY13">
        <f>AM13</f>
        <v>3.8000000000000007</v>
      </c>
      <c r="AZ13">
        <f>AN13/AW13</f>
        <v>1.7303703703703708</v>
      </c>
      <c r="BA13">
        <f>(Table5[[#This Row],[axe décroissance brut]]/Table5[[#This Row],[diam ML dg]])*100</f>
        <v>19.191919191919197</v>
      </c>
      <c r="BB13">
        <f t="shared" si="10"/>
        <v>558.68035555555559</v>
      </c>
      <c r="BC13">
        <f t="shared" si="11"/>
        <v>49.924039476278288</v>
      </c>
      <c r="BD13">
        <f t="shared" si="12"/>
        <v>0.42588740740740744</v>
      </c>
      <c r="BE13">
        <f t="shared" si="13"/>
        <v>58.784893267651896</v>
      </c>
      <c r="BF13">
        <v>1</v>
      </c>
      <c r="BG13">
        <v>0</v>
      </c>
    </row>
    <row r="14" spans="1:66" x14ac:dyDescent="0.2">
      <c r="A14" t="s">
        <v>119</v>
      </c>
      <c r="B14">
        <v>13</v>
      </c>
      <c r="C14">
        <v>0</v>
      </c>
      <c r="D14" s="13">
        <v>58</v>
      </c>
      <c r="E14" s="13" t="s">
        <v>27</v>
      </c>
      <c r="F14" t="s">
        <v>30</v>
      </c>
      <c r="G14" t="s">
        <v>53</v>
      </c>
      <c r="H14" s="7">
        <v>42549</v>
      </c>
      <c r="I14" s="2">
        <v>11.4</v>
      </c>
      <c r="J14" s="2">
        <v>16.3</v>
      </c>
      <c r="K14" s="2">
        <v>9.9</v>
      </c>
      <c r="L14" s="2">
        <v>16.3</v>
      </c>
      <c r="M14" s="2">
        <f t="shared" si="0"/>
        <v>13.631580979475565</v>
      </c>
      <c r="N14" s="2">
        <f t="shared" si="1"/>
        <v>919.8090000000002</v>
      </c>
      <c r="O14" s="2">
        <v>0.79620000000000002</v>
      </c>
      <c r="P14" s="2"/>
      <c r="Q14" s="2">
        <v>1</v>
      </c>
      <c r="R14" s="2">
        <v>7.7</v>
      </c>
      <c r="S14" s="2">
        <v>0</v>
      </c>
      <c r="T14" s="2">
        <v>1</v>
      </c>
      <c r="U14" s="2">
        <v>0</v>
      </c>
      <c r="V14" s="2">
        <v>0</v>
      </c>
      <c r="W14" t="s">
        <v>33</v>
      </c>
      <c r="X14">
        <v>1</v>
      </c>
      <c r="Y14" t="s">
        <v>33</v>
      </c>
      <c r="Z14" t="s">
        <v>11</v>
      </c>
      <c r="AA14">
        <v>0</v>
      </c>
      <c r="AB14">
        <v>1</v>
      </c>
      <c r="AC14" s="7">
        <v>43089</v>
      </c>
      <c r="AD14" s="2">
        <v>9.3000000000000007</v>
      </c>
      <c r="AE14" s="2">
        <v>14.1</v>
      </c>
      <c r="AF14" s="2">
        <v>9.3000000000000007</v>
      </c>
      <c r="AG14" s="2">
        <v>14.1</v>
      </c>
      <c r="AH14" s="2">
        <f t="shared" si="2"/>
        <v>11.451200810395388</v>
      </c>
      <c r="AI14" s="2">
        <f t="shared" si="3"/>
        <v>609.75450000000001</v>
      </c>
      <c r="AJ14" s="2">
        <v>0.59330000000000005</v>
      </c>
      <c r="AK14" s="2"/>
      <c r="AL14">
        <f t="shared" si="4"/>
        <v>2.0999999999999996</v>
      </c>
      <c r="AM14">
        <f t="shared" si="5"/>
        <v>2.2000000000000011</v>
      </c>
      <c r="AN14">
        <f t="shared" si="6"/>
        <v>0.59999999999999964</v>
      </c>
      <c r="AO14">
        <v>3</v>
      </c>
      <c r="AQ14">
        <f t="shared" si="8"/>
        <v>0.20289999999999997</v>
      </c>
      <c r="AR14" t="s">
        <v>27</v>
      </c>
      <c r="AS14" t="s">
        <v>30</v>
      </c>
      <c r="AT14">
        <v>0</v>
      </c>
      <c r="AU14" t="s">
        <v>53</v>
      </c>
      <c r="AV14">
        <v>0</v>
      </c>
      <c r="AW14" s="16">
        <f t="shared" si="9"/>
        <v>1.4794520547945205</v>
      </c>
      <c r="AX14">
        <v>2</v>
      </c>
      <c r="AY14">
        <f>Table5[[#This Row],[diam ML différence dg-dernier]]</f>
        <v>2.2000000000000011</v>
      </c>
      <c r="AZ14">
        <f>AN14/AW14</f>
        <v>0.40555555555555534</v>
      </c>
      <c r="BA14">
        <f>(Table5[[#This Row],[axe décroissance brut]]/J14)*100</f>
        <v>13.496932515337429</v>
      </c>
      <c r="BD14">
        <f t="shared" si="12"/>
        <v>0.13714537037037036</v>
      </c>
      <c r="BE14">
        <f t="shared" si="13"/>
        <v>25.483546847525744</v>
      </c>
      <c r="BF14">
        <v>1</v>
      </c>
      <c r="BG14">
        <v>0</v>
      </c>
    </row>
    <row r="15" spans="1:66" x14ac:dyDescent="0.2">
      <c r="A15" t="s">
        <v>120</v>
      </c>
      <c r="B15">
        <v>14</v>
      </c>
      <c r="C15">
        <v>1</v>
      </c>
      <c r="D15" s="13">
        <v>65</v>
      </c>
      <c r="E15" s="13" t="s">
        <v>27</v>
      </c>
      <c r="F15" t="s">
        <v>30</v>
      </c>
      <c r="G15" t="s">
        <v>52</v>
      </c>
      <c r="H15" s="7">
        <v>42212</v>
      </c>
      <c r="I15" s="2">
        <v>12.1</v>
      </c>
      <c r="J15" s="2">
        <v>18.899999999999999</v>
      </c>
      <c r="K15" s="2">
        <v>7.5</v>
      </c>
      <c r="L15" s="2">
        <v>18.899999999999999</v>
      </c>
      <c r="M15" s="2">
        <f t="shared" si="0"/>
        <v>15.122499793354271</v>
      </c>
      <c r="N15" s="2">
        <f t="shared" si="1"/>
        <v>857.58749999999986</v>
      </c>
      <c r="O15" s="2">
        <v>0.75629999999999997</v>
      </c>
      <c r="P15" s="2"/>
      <c r="Q15" s="2">
        <v>1</v>
      </c>
      <c r="R15" s="2">
        <v>5.8</v>
      </c>
      <c r="S15" s="2">
        <v>0</v>
      </c>
      <c r="T15" s="2">
        <v>0</v>
      </c>
      <c r="U15" s="2">
        <v>0</v>
      </c>
      <c r="V15" s="2">
        <v>1</v>
      </c>
      <c r="W15" t="s">
        <v>17</v>
      </c>
      <c r="X15">
        <v>0</v>
      </c>
      <c r="Y15" t="s">
        <v>33</v>
      </c>
      <c r="Z15" t="s">
        <v>11</v>
      </c>
      <c r="AA15">
        <v>0</v>
      </c>
      <c r="AB15">
        <v>1</v>
      </c>
      <c r="AC15" s="7">
        <v>43180</v>
      </c>
      <c r="AD15" s="2">
        <v>8.3000000000000007</v>
      </c>
      <c r="AE15" s="2">
        <v>14.4</v>
      </c>
      <c r="AF15" s="2">
        <v>5.8</v>
      </c>
      <c r="AG15" s="2">
        <v>14.4</v>
      </c>
      <c r="AH15" s="2">
        <f t="shared" si="2"/>
        <v>10.932520294973159</v>
      </c>
      <c r="AI15" s="2">
        <f t="shared" si="3"/>
        <v>346.608</v>
      </c>
      <c r="AJ15" s="2">
        <v>0.56430000000000002</v>
      </c>
      <c r="AK15" s="2"/>
      <c r="AL15">
        <f t="shared" si="4"/>
        <v>3.7999999999999989</v>
      </c>
      <c r="AM15">
        <f t="shared" si="5"/>
        <v>4.4999999999999982</v>
      </c>
      <c r="AN15">
        <f t="shared" si="6"/>
        <v>1.7000000000000002</v>
      </c>
      <c r="AO15">
        <v>3</v>
      </c>
      <c r="AQ15">
        <f t="shared" si="8"/>
        <v>0.19199999999999995</v>
      </c>
      <c r="AR15" t="s">
        <v>27</v>
      </c>
      <c r="AS15" t="s">
        <v>30</v>
      </c>
      <c r="AT15">
        <v>0</v>
      </c>
      <c r="AU15" t="s">
        <v>56</v>
      </c>
      <c r="AV15">
        <v>0</v>
      </c>
      <c r="AW15" s="16">
        <f t="shared" si="9"/>
        <v>2.6520547945205482</v>
      </c>
      <c r="AX15">
        <v>4</v>
      </c>
      <c r="AY15">
        <f>Table5[[#This Row],[diam ML différence dg-dernier]]</f>
        <v>4.4999999999999982</v>
      </c>
      <c r="AZ15">
        <f>(Table5[[#This Row],[axe décroissance brut]]/Table5[[#This Row],[suivi (ans)]])</f>
        <v>1.6967975206611563</v>
      </c>
      <c r="BA15">
        <f>(Table5[[#This Row],[axe décroissance brut]]/Table5[[#This Row],[diam ML dg]])*100</f>
        <v>23.809523809523803</v>
      </c>
      <c r="BD15">
        <f t="shared" si="12"/>
        <v>7.2396694214876003E-2</v>
      </c>
      <c r="BE15">
        <f t="shared" si="13"/>
        <v>25.386751289170956</v>
      </c>
      <c r="BF15">
        <v>1</v>
      </c>
      <c r="BG15">
        <v>0</v>
      </c>
      <c r="BH15" t="s">
        <v>106</v>
      </c>
    </row>
    <row r="17" spans="3:59" x14ac:dyDescent="0.2">
      <c r="C17">
        <f>SUM(C2:C15)</f>
        <v>6</v>
      </c>
      <c r="D17">
        <f>AVERAGE(D2:D15)</f>
        <v>59.846153846153847</v>
      </c>
      <c r="I17">
        <f>AVERAGE(I2:I15)</f>
        <v>13.785714285714286</v>
      </c>
      <c r="J17">
        <f t="shared" ref="J17:N17" si="14">AVERAGE(J2:J15)</f>
        <v>17.228571428571431</v>
      </c>
      <c r="K17">
        <f t="shared" si="14"/>
        <v>13.650000000000002</v>
      </c>
      <c r="L17">
        <f t="shared" si="14"/>
        <v>18.014285714285716</v>
      </c>
      <c r="M17">
        <f t="shared" si="14"/>
        <v>15.268600439396009</v>
      </c>
      <c r="N17">
        <f t="shared" si="14"/>
        <v>2372.1803571428572</v>
      </c>
      <c r="O17">
        <f>AVERAGE(O2:O15)</f>
        <v>1.5815857142857142</v>
      </c>
      <c r="R17">
        <f>AVERAGE(R2:R15)</f>
        <v>3.1785714285714284</v>
      </c>
      <c r="V17">
        <f>SUM(Table5[kystique])</f>
        <v>4</v>
      </c>
      <c r="AB17">
        <f>SUM(Table5[liseré liquidien (apparition)])</f>
        <v>10</v>
      </c>
      <c r="AH17">
        <f>AVERAGE(AH2:AH15)</f>
        <v>12.787710397549763</v>
      </c>
      <c r="AI17">
        <f>AVERAGE(AI2:AI15)</f>
        <v>1567.8822499999999</v>
      </c>
      <c r="AJ17">
        <f>AVERAGE(AJ2:AJ15)</f>
        <v>1.0683357142857144</v>
      </c>
      <c r="AW17" s="16">
        <f>AVERAGE(AW2:AW15)</f>
        <v>4.7311154598825826</v>
      </c>
      <c r="AX17" s="16">
        <f>AVERAGE(AX2:AX15)</f>
        <v>4.0714285714285712</v>
      </c>
      <c r="AZ17">
        <f>AVERAGE(AZ2:AZ15)</f>
        <v>0.94869074356776051</v>
      </c>
      <c r="BA17">
        <f t="shared" ref="BA17:BE17" si="15">AVERAGE(BA2:BA15)</f>
        <v>21.036302087675086</v>
      </c>
      <c r="BB17">
        <f t="shared" si="15"/>
        <v>281.2446271180217</v>
      </c>
      <c r="BC17">
        <f t="shared" si="15"/>
        <v>36.847862345933244</v>
      </c>
      <c r="BD17">
        <f>AVERAGE(BD2:BD15)</f>
        <v>0.17018962368510263</v>
      </c>
      <c r="BE17">
        <f t="shared" si="15"/>
        <v>40.441057365460594</v>
      </c>
      <c r="BF17">
        <f>SUM(Table5[prise de contraste hétérogène])</f>
        <v>5</v>
      </c>
      <c r="BG17">
        <f>SUM(Table5[baisse de la prise de contraste centrale])</f>
        <v>1</v>
      </c>
    </row>
    <row r="18" spans="3:59" x14ac:dyDescent="0.2">
      <c r="D18">
        <f>_xlfn.STDEV.S(D2:D15)</f>
        <v>8.1224601552952382</v>
      </c>
      <c r="I18">
        <f>_xlfn.STDEV.S(I2:I15)</f>
        <v>6.8337237447661154</v>
      </c>
      <c r="J18">
        <f t="shared" ref="J18:N18" si="16">_xlfn.STDEV.S(J2:J15)</f>
        <v>4.9721421743749117</v>
      </c>
      <c r="K18">
        <f t="shared" si="16"/>
        <v>7.5814297413533351</v>
      </c>
      <c r="L18">
        <f t="shared" si="16"/>
        <v>5.9533903905973542</v>
      </c>
      <c r="M18">
        <f t="shared" si="16"/>
        <v>5.9491290164648012</v>
      </c>
      <c r="N18">
        <f t="shared" si="16"/>
        <v>2442.5050037771784</v>
      </c>
      <c r="O18">
        <f>_xlfn.STDEV.S(O2:O15)</f>
        <v>1.6553465915758427</v>
      </c>
      <c r="R18">
        <f>_xlfn.STDEV.S(R2:R15)</f>
        <v>2.6236142339055197</v>
      </c>
      <c r="AH18">
        <f>_xlfn.STDEV.S(AH2:AH15)</f>
        <v>5.2144951746038357</v>
      </c>
      <c r="AI18">
        <f>_xlfn.STDEV.S(AI2:AI15)</f>
        <v>1908.2642309031755</v>
      </c>
      <c r="AJ18">
        <f>_xlfn.STDEV.S(AJ2:AJ15)</f>
        <v>1.3667537669220466</v>
      </c>
      <c r="AW18">
        <f>AVEDEV(AW2:AW15)</f>
        <v>2.5901034386357287</v>
      </c>
      <c r="AX18">
        <f>AVEDEV(AX2:AX15)</f>
        <v>1.3877551020408159</v>
      </c>
      <c r="AZ18">
        <f>AVEDEV(AZ2:AZ15)</f>
        <v>0.58969594219642385</v>
      </c>
      <c r="BA18">
        <f t="shared" ref="BA18:BE18" si="17">AVEDEV(BA2:BA15)</f>
        <v>5.6543461745433632</v>
      </c>
      <c r="BB18">
        <f t="shared" si="17"/>
        <v>298.70360623127402</v>
      </c>
      <c r="BC18">
        <f t="shared" si="17"/>
        <v>14.975826683816621</v>
      </c>
      <c r="BD18">
        <f>AVEDEV(BD2:BD15)</f>
        <v>0.16506182209071912</v>
      </c>
      <c r="BE18">
        <f t="shared" si="17"/>
        <v>16.988625379996474</v>
      </c>
    </row>
    <row r="32" spans="3:59" x14ac:dyDescent="0.2">
      <c r="S32" s="12" t="s">
        <v>45</v>
      </c>
      <c r="V32" s="12" t="s">
        <v>46</v>
      </c>
    </row>
    <row r="33" spans="2:17" x14ac:dyDescent="0.2">
      <c r="B33" s="13"/>
      <c r="C33" s="13"/>
      <c r="D33" s="13"/>
      <c r="I33" s="12"/>
    </row>
    <row r="34" spans="2:17" x14ac:dyDescent="0.2">
      <c r="Q34" s="12"/>
    </row>
  </sheetData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workbookViewId="0">
      <selection activeCell="B25" sqref="B25"/>
    </sheetView>
  </sheetViews>
  <sheetFormatPr baseColWidth="10" defaultRowHeight="15" x14ac:dyDescent="0.2"/>
  <cols>
    <col min="1" max="1" width="18" customWidth="1"/>
    <col min="2" max="2" width="10.1640625" customWidth="1"/>
    <col min="11" max="11" width="10" customWidth="1"/>
    <col min="18" max="18" width="11.1640625" customWidth="1"/>
    <col min="20" max="20" width="12.6640625" customWidth="1"/>
    <col min="21" max="21" width="17.1640625" customWidth="1"/>
    <col min="22" max="22" width="18" customWidth="1"/>
  </cols>
  <sheetData>
    <row r="1" spans="1:22" x14ac:dyDescent="0.2">
      <c r="A1" s="3" t="s">
        <v>95</v>
      </c>
      <c r="B1" s="3" t="s">
        <v>71</v>
      </c>
      <c r="C1" t="s">
        <v>57</v>
      </c>
      <c r="D1" t="s">
        <v>58</v>
      </c>
      <c r="E1" t="s">
        <v>59</v>
      </c>
      <c r="F1" t="s">
        <v>60</v>
      </c>
      <c r="G1" s="15" t="s">
        <v>100</v>
      </c>
      <c r="H1" t="s">
        <v>61</v>
      </c>
      <c r="I1" t="s">
        <v>62</v>
      </c>
      <c r="J1" t="s">
        <v>63</v>
      </c>
      <c r="K1" t="s">
        <v>72</v>
      </c>
      <c r="L1" t="s">
        <v>64</v>
      </c>
      <c r="M1" t="s">
        <v>65</v>
      </c>
      <c r="N1" t="s">
        <v>66</v>
      </c>
      <c r="O1" t="s">
        <v>67</v>
      </c>
      <c r="P1" s="15" t="s">
        <v>101</v>
      </c>
      <c r="Q1" t="s">
        <v>68</v>
      </c>
      <c r="R1" t="s">
        <v>69</v>
      </c>
      <c r="S1" t="s">
        <v>70</v>
      </c>
      <c r="T1" t="s">
        <v>73</v>
      </c>
      <c r="U1" s="6" t="s">
        <v>13</v>
      </c>
      <c r="V1" s="3" t="s">
        <v>14</v>
      </c>
    </row>
    <row r="2" spans="1:22" x14ac:dyDescent="0.2">
      <c r="A2" t="s">
        <v>107</v>
      </c>
      <c r="B2" s="8">
        <v>41463</v>
      </c>
      <c r="C2">
        <v>20</v>
      </c>
      <c r="D2">
        <v>35</v>
      </c>
      <c r="E2">
        <v>50</v>
      </c>
      <c r="F2">
        <v>70</v>
      </c>
      <c r="G2">
        <v>45</v>
      </c>
      <c r="H2">
        <v>100</v>
      </c>
      <c r="I2" t="s">
        <v>53</v>
      </c>
      <c r="J2">
        <f t="shared" ref="J2:J6" si="0" xml:space="preserve"> AVERAGE(C2:F2)</f>
        <v>43.75</v>
      </c>
      <c r="K2" s="8">
        <v>42376</v>
      </c>
      <c r="L2">
        <v>25</v>
      </c>
      <c r="M2">
        <v>40</v>
      </c>
      <c r="N2">
        <v>70</v>
      </c>
      <c r="O2">
        <v>65</v>
      </c>
      <c r="P2">
        <v>75</v>
      </c>
      <c r="Q2">
        <v>80</v>
      </c>
      <c r="R2" t="s">
        <v>56</v>
      </c>
      <c r="S2">
        <f t="shared" ref="S2:S6" si="1">AVERAGE(L2:O2)</f>
        <v>50</v>
      </c>
      <c r="T2" t="s">
        <v>74</v>
      </c>
      <c r="U2" s="1" t="s">
        <v>11</v>
      </c>
      <c r="V2" s="2">
        <v>0</v>
      </c>
    </row>
    <row r="3" spans="1:22" x14ac:dyDescent="0.2">
      <c r="A3" t="s">
        <v>108</v>
      </c>
      <c r="B3" s="8">
        <v>39132</v>
      </c>
      <c r="C3">
        <v>5</v>
      </c>
      <c r="D3">
        <v>10</v>
      </c>
      <c r="E3">
        <v>35</v>
      </c>
      <c r="F3">
        <v>50</v>
      </c>
      <c r="G3">
        <v>35</v>
      </c>
      <c r="H3">
        <v>100</v>
      </c>
      <c r="I3" t="s">
        <v>52</v>
      </c>
      <c r="J3">
        <f t="shared" si="0"/>
        <v>25</v>
      </c>
      <c r="K3" s="8">
        <v>42698</v>
      </c>
      <c r="L3">
        <v>45</v>
      </c>
      <c r="M3">
        <v>60</v>
      </c>
      <c r="N3">
        <v>65</v>
      </c>
      <c r="O3">
        <v>95</v>
      </c>
      <c r="P3">
        <v>120</v>
      </c>
      <c r="Q3">
        <v>10</v>
      </c>
      <c r="R3" t="s">
        <v>75</v>
      </c>
      <c r="S3">
        <f t="shared" si="1"/>
        <v>66.25</v>
      </c>
      <c r="T3" t="s">
        <v>74</v>
      </c>
      <c r="U3" t="s">
        <v>33</v>
      </c>
      <c r="V3" t="s">
        <v>33</v>
      </c>
    </row>
    <row r="4" spans="1:22" x14ac:dyDescent="0.2">
      <c r="A4" t="s">
        <v>109</v>
      </c>
      <c r="B4" s="8">
        <v>40518</v>
      </c>
      <c r="C4">
        <v>10</v>
      </c>
      <c r="D4">
        <v>10</v>
      </c>
      <c r="E4">
        <v>20</v>
      </c>
      <c r="F4">
        <v>10</v>
      </c>
      <c r="G4">
        <v>20</v>
      </c>
      <c r="H4">
        <v>100</v>
      </c>
      <c r="I4" t="s">
        <v>52</v>
      </c>
      <c r="J4">
        <f t="shared" si="0"/>
        <v>12.5</v>
      </c>
      <c r="K4" s="8">
        <v>42530</v>
      </c>
      <c r="L4">
        <v>10</v>
      </c>
      <c r="M4">
        <v>10</v>
      </c>
      <c r="N4">
        <v>15</v>
      </c>
      <c r="O4">
        <v>15</v>
      </c>
      <c r="P4">
        <v>15</v>
      </c>
      <c r="Q4">
        <v>100</v>
      </c>
      <c r="R4" t="s">
        <v>52</v>
      </c>
      <c r="S4">
        <f t="shared" si="1"/>
        <v>12.5</v>
      </c>
      <c r="T4" t="s">
        <v>34</v>
      </c>
      <c r="U4" t="s">
        <v>11</v>
      </c>
      <c r="V4" t="s">
        <v>41</v>
      </c>
    </row>
    <row r="5" spans="1:22" x14ac:dyDescent="0.2">
      <c r="A5" t="s">
        <v>110</v>
      </c>
      <c r="B5" s="8">
        <v>39552</v>
      </c>
      <c r="C5">
        <v>35</v>
      </c>
      <c r="D5">
        <v>70</v>
      </c>
      <c r="E5">
        <v>95</v>
      </c>
      <c r="F5">
        <v>85</v>
      </c>
      <c r="G5">
        <v>65</v>
      </c>
      <c r="H5">
        <v>80</v>
      </c>
      <c r="I5" t="s">
        <v>56</v>
      </c>
      <c r="J5">
        <f t="shared" si="0"/>
        <v>71.25</v>
      </c>
      <c r="K5" s="8">
        <v>42520</v>
      </c>
      <c r="L5">
        <v>70</v>
      </c>
      <c r="M5">
        <v>75</v>
      </c>
      <c r="N5">
        <v>100</v>
      </c>
      <c r="O5">
        <v>105</v>
      </c>
      <c r="P5">
        <v>0</v>
      </c>
      <c r="Q5">
        <v>0</v>
      </c>
      <c r="R5" t="s">
        <v>75</v>
      </c>
      <c r="S5">
        <f t="shared" si="1"/>
        <v>87.5</v>
      </c>
      <c r="T5" t="s">
        <v>74</v>
      </c>
      <c r="U5" t="s">
        <v>11</v>
      </c>
      <c r="V5" t="s">
        <v>41</v>
      </c>
    </row>
    <row r="6" spans="1:22" x14ac:dyDescent="0.2">
      <c r="A6" t="s">
        <v>111</v>
      </c>
      <c r="B6" s="8">
        <v>41652</v>
      </c>
      <c r="C6">
        <v>45</v>
      </c>
      <c r="D6">
        <v>45</v>
      </c>
      <c r="E6">
        <v>60</v>
      </c>
      <c r="F6">
        <v>70</v>
      </c>
      <c r="G6">
        <v>80</v>
      </c>
      <c r="H6">
        <v>100</v>
      </c>
      <c r="I6" t="s">
        <v>56</v>
      </c>
      <c r="J6">
        <f t="shared" si="0"/>
        <v>55</v>
      </c>
      <c r="K6" s="8">
        <v>42723</v>
      </c>
      <c r="L6">
        <v>45</v>
      </c>
      <c r="M6">
        <v>45</v>
      </c>
      <c r="N6">
        <v>50</v>
      </c>
      <c r="O6">
        <v>75</v>
      </c>
      <c r="P6">
        <v>85</v>
      </c>
      <c r="R6" t="s">
        <v>56</v>
      </c>
      <c r="S6">
        <f t="shared" si="1"/>
        <v>53.75</v>
      </c>
      <c r="T6" t="s">
        <v>34</v>
      </c>
      <c r="U6" t="s">
        <v>11</v>
      </c>
      <c r="V6">
        <v>0</v>
      </c>
    </row>
    <row r="7" spans="1:22" x14ac:dyDescent="0.2">
      <c r="A7" t="s">
        <v>112</v>
      </c>
      <c r="B7" s="8">
        <v>40212</v>
      </c>
      <c r="C7">
        <v>25</v>
      </c>
      <c r="D7">
        <v>25</v>
      </c>
      <c r="E7">
        <v>30</v>
      </c>
      <c r="F7">
        <v>50</v>
      </c>
      <c r="G7">
        <v>65</v>
      </c>
      <c r="H7">
        <v>100</v>
      </c>
      <c r="I7" t="s">
        <v>56</v>
      </c>
      <c r="J7">
        <f xml:space="preserve"> AVERAGE(C7:F7)</f>
        <v>32.5</v>
      </c>
      <c r="K7" s="8">
        <v>42012</v>
      </c>
      <c r="L7">
        <v>45</v>
      </c>
      <c r="M7">
        <v>50</v>
      </c>
      <c r="N7">
        <v>50</v>
      </c>
      <c r="O7">
        <v>60</v>
      </c>
      <c r="P7">
        <v>55</v>
      </c>
      <c r="Q7">
        <v>100</v>
      </c>
      <c r="R7" t="s">
        <v>56</v>
      </c>
      <c r="S7">
        <f>AVERAGE(L7:O7)</f>
        <v>51.25</v>
      </c>
      <c r="T7" t="s">
        <v>34</v>
      </c>
      <c r="U7" t="s">
        <v>11</v>
      </c>
      <c r="V7">
        <v>0</v>
      </c>
    </row>
    <row r="8" spans="1:22" x14ac:dyDescent="0.2">
      <c r="A8" t="s">
        <v>113</v>
      </c>
      <c r="B8" s="8">
        <v>39464</v>
      </c>
      <c r="C8">
        <v>15</v>
      </c>
      <c r="D8">
        <v>20</v>
      </c>
      <c r="E8">
        <v>20</v>
      </c>
      <c r="F8">
        <v>20</v>
      </c>
      <c r="G8">
        <v>35</v>
      </c>
      <c r="H8">
        <v>100</v>
      </c>
      <c r="I8" t="s">
        <v>52</v>
      </c>
      <c r="J8">
        <f xml:space="preserve"> AVERAGE(C8:F8)</f>
        <v>18.75</v>
      </c>
      <c r="K8" s="8">
        <v>42866</v>
      </c>
      <c r="L8">
        <v>20</v>
      </c>
      <c r="M8">
        <v>20</v>
      </c>
      <c r="N8">
        <v>65</v>
      </c>
      <c r="O8">
        <v>60</v>
      </c>
      <c r="P8">
        <v>70</v>
      </c>
      <c r="Q8">
        <v>90</v>
      </c>
      <c r="R8" t="s">
        <v>56</v>
      </c>
      <c r="S8">
        <f>AVERAGE(L8:O8)</f>
        <v>41.25</v>
      </c>
      <c r="T8" t="s">
        <v>74</v>
      </c>
      <c r="U8" t="s">
        <v>11</v>
      </c>
      <c r="V8" t="s">
        <v>41</v>
      </c>
    </row>
    <row r="9" spans="1:22" x14ac:dyDescent="0.2">
      <c r="A9" t="s">
        <v>114</v>
      </c>
      <c r="B9" s="8">
        <v>40921</v>
      </c>
      <c r="C9">
        <v>15</v>
      </c>
      <c r="D9">
        <v>15</v>
      </c>
      <c r="E9">
        <v>15</v>
      </c>
      <c r="F9">
        <v>10</v>
      </c>
      <c r="G9">
        <v>40</v>
      </c>
      <c r="H9">
        <v>100</v>
      </c>
      <c r="I9" t="s">
        <v>53</v>
      </c>
      <c r="J9">
        <f t="shared" ref="J9:J15" si="2" xml:space="preserve"> AVERAGE(C9:F9)</f>
        <v>13.75</v>
      </c>
      <c r="K9" s="8">
        <v>42929</v>
      </c>
      <c r="L9">
        <v>30</v>
      </c>
      <c r="M9">
        <v>35</v>
      </c>
      <c r="N9">
        <v>55</v>
      </c>
      <c r="O9">
        <v>60</v>
      </c>
      <c r="P9">
        <v>75</v>
      </c>
      <c r="Q9">
        <v>100</v>
      </c>
      <c r="R9" t="s">
        <v>56</v>
      </c>
      <c r="S9">
        <f t="shared" ref="S9:S15" si="3">AVERAGE(L9:O9)</f>
        <v>45</v>
      </c>
      <c r="T9" t="s">
        <v>74</v>
      </c>
      <c r="U9" t="s">
        <v>11</v>
      </c>
      <c r="V9" t="s">
        <v>41</v>
      </c>
    </row>
    <row r="10" spans="1:22" x14ac:dyDescent="0.2">
      <c r="A10" t="s">
        <v>115</v>
      </c>
      <c r="B10" s="8">
        <v>40861</v>
      </c>
      <c r="C10">
        <v>30</v>
      </c>
      <c r="D10">
        <v>50</v>
      </c>
      <c r="E10">
        <v>70</v>
      </c>
      <c r="F10">
        <v>70</v>
      </c>
      <c r="G10">
        <v>75</v>
      </c>
      <c r="H10">
        <v>100</v>
      </c>
      <c r="I10" t="s">
        <v>56</v>
      </c>
      <c r="J10">
        <f t="shared" si="2"/>
        <v>55</v>
      </c>
      <c r="K10" s="8">
        <v>43073</v>
      </c>
      <c r="L10">
        <v>35</v>
      </c>
      <c r="M10">
        <v>50</v>
      </c>
      <c r="N10">
        <v>80</v>
      </c>
      <c r="O10">
        <v>85</v>
      </c>
      <c r="P10">
        <v>120</v>
      </c>
      <c r="Q10">
        <v>30</v>
      </c>
      <c r="R10" t="s">
        <v>75</v>
      </c>
      <c r="S10">
        <f t="shared" si="3"/>
        <v>62.5</v>
      </c>
      <c r="T10" t="s">
        <v>74</v>
      </c>
      <c r="U10" t="s">
        <v>11</v>
      </c>
      <c r="V10">
        <v>0</v>
      </c>
    </row>
    <row r="11" spans="1:22" x14ac:dyDescent="0.2">
      <c r="A11" t="s">
        <v>116</v>
      </c>
      <c r="B11" s="8">
        <v>38960</v>
      </c>
      <c r="C11">
        <v>15</v>
      </c>
      <c r="D11">
        <v>25</v>
      </c>
      <c r="E11">
        <v>45</v>
      </c>
      <c r="F11">
        <v>65</v>
      </c>
      <c r="G11">
        <v>40</v>
      </c>
      <c r="H11">
        <v>100</v>
      </c>
      <c r="I11" t="s">
        <v>53</v>
      </c>
      <c r="J11">
        <f t="shared" si="2"/>
        <v>37.5</v>
      </c>
      <c r="K11" s="8">
        <v>43052</v>
      </c>
      <c r="L11">
        <v>10</v>
      </c>
      <c r="M11">
        <v>45</v>
      </c>
      <c r="N11">
        <v>60</v>
      </c>
      <c r="O11">
        <v>75</v>
      </c>
      <c r="P11">
        <v>65</v>
      </c>
      <c r="Q11">
        <v>70</v>
      </c>
      <c r="R11" t="s">
        <v>56</v>
      </c>
      <c r="S11">
        <f t="shared" si="3"/>
        <v>47.5</v>
      </c>
      <c r="T11" t="s">
        <v>74</v>
      </c>
      <c r="U11" t="s">
        <v>11</v>
      </c>
      <c r="V11">
        <v>0</v>
      </c>
    </row>
    <row r="12" spans="1:22" x14ac:dyDescent="0.2">
      <c r="A12" t="s">
        <v>117</v>
      </c>
      <c r="B12" s="8">
        <v>39192</v>
      </c>
      <c r="C12">
        <v>20</v>
      </c>
      <c r="D12">
        <v>30</v>
      </c>
      <c r="E12">
        <v>50</v>
      </c>
      <c r="F12">
        <v>60</v>
      </c>
      <c r="G12">
        <v>55</v>
      </c>
      <c r="H12">
        <v>100</v>
      </c>
      <c r="I12" t="s">
        <v>53</v>
      </c>
      <c r="J12">
        <f t="shared" si="2"/>
        <v>40</v>
      </c>
      <c r="K12" s="8">
        <v>42611</v>
      </c>
      <c r="L12">
        <v>30</v>
      </c>
      <c r="M12">
        <v>40</v>
      </c>
      <c r="N12">
        <v>50</v>
      </c>
      <c r="O12">
        <v>60</v>
      </c>
      <c r="P12">
        <v>55</v>
      </c>
      <c r="Q12">
        <v>90</v>
      </c>
      <c r="R12" t="s">
        <v>53</v>
      </c>
      <c r="S12">
        <f t="shared" si="3"/>
        <v>45</v>
      </c>
      <c r="T12" t="s">
        <v>34</v>
      </c>
      <c r="U12" t="s">
        <v>11</v>
      </c>
      <c r="V12">
        <v>0</v>
      </c>
    </row>
    <row r="13" spans="1:22" x14ac:dyDescent="0.2">
      <c r="A13" t="s">
        <v>118</v>
      </c>
      <c r="B13" s="8"/>
      <c r="K13" s="8"/>
      <c r="T13" t="s">
        <v>74</v>
      </c>
      <c r="U13" t="s">
        <v>11</v>
      </c>
      <c r="V13">
        <v>0</v>
      </c>
    </row>
    <row r="14" spans="1:22" x14ac:dyDescent="0.2">
      <c r="A14" t="s">
        <v>119</v>
      </c>
      <c r="B14" s="8">
        <v>42529</v>
      </c>
      <c r="C14">
        <v>55</v>
      </c>
      <c r="D14">
        <v>70</v>
      </c>
      <c r="E14">
        <v>65</v>
      </c>
      <c r="F14">
        <v>75</v>
      </c>
      <c r="G14">
        <v>70</v>
      </c>
      <c r="H14">
        <v>100</v>
      </c>
      <c r="I14" t="s">
        <v>56</v>
      </c>
      <c r="J14">
        <f t="shared" si="2"/>
        <v>66.25</v>
      </c>
      <c r="K14" s="8"/>
      <c r="T14" t="s">
        <v>34</v>
      </c>
      <c r="U14" t="s">
        <v>11</v>
      </c>
      <c r="V14">
        <v>0</v>
      </c>
    </row>
    <row r="15" spans="1:22" x14ac:dyDescent="0.2">
      <c r="A15" t="s">
        <v>120</v>
      </c>
      <c r="B15" s="8">
        <v>42320</v>
      </c>
      <c r="C15">
        <v>35</v>
      </c>
      <c r="D15">
        <v>20</v>
      </c>
      <c r="E15">
        <v>30</v>
      </c>
      <c r="F15">
        <v>40</v>
      </c>
      <c r="G15">
        <v>55</v>
      </c>
      <c r="H15">
        <v>100</v>
      </c>
      <c r="I15" t="s">
        <v>53</v>
      </c>
      <c r="J15">
        <f t="shared" si="2"/>
        <v>31.25</v>
      </c>
      <c r="K15" s="8">
        <v>43186</v>
      </c>
      <c r="L15">
        <v>35</v>
      </c>
      <c r="M15">
        <v>35</v>
      </c>
      <c r="N15">
        <v>30</v>
      </c>
      <c r="O15">
        <v>40</v>
      </c>
      <c r="P15">
        <v>55</v>
      </c>
      <c r="Q15">
        <v>100</v>
      </c>
      <c r="R15" t="s">
        <v>53</v>
      </c>
      <c r="S15">
        <f t="shared" si="3"/>
        <v>35</v>
      </c>
      <c r="T15" t="s">
        <v>34</v>
      </c>
      <c r="U15" t="s">
        <v>11</v>
      </c>
      <c r="V15">
        <v>0</v>
      </c>
    </row>
    <row r="16" spans="1:22" x14ac:dyDescent="0.2">
      <c r="A16" s="19"/>
      <c r="B16" s="8"/>
    </row>
    <row r="17" spans="10:19" x14ac:dyDescent="0.2">
      <c r="J17">
        <f>AVERAGE(J2:J15)</f>
        <v>38.653846153846153</v>
      </c>
      <c r="S17">
        <f>AVERAGE(S2:S15)</f>
        <v>49.791666666666664</v>
      </c>
    </row>
    <row r="18" spans="10:19" x14ac:dyDescent="0.2">
      <c r="J18">
        <f>AVEDEV(J2:J15)</f>
        <v>15.281065088757398</v>
      </c>
      <c r="S18">
        <f>AVEDEV(S2:S15)</f>
        <v>12.08333333333333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IRM</vt:lpstr>
      <vt:lpstr>audio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g-nck-pcnck1489</dc:creator>
  <cp:lastModifiedBy>Ghizlene Lahlou</cp:lastModifiedBy>
  <dcterms:created xsi:type="dcterms:W3CDTF">2018-01-07T16:29:50Z</dcterms:created>
  <dcterms:modified xsi:type="dcterms:W3CDTF">2019-02-23T10:35:14Z</dcterms:modified>
</cp:coreProperties>
</file>