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05" activeTab="0"/>
  </bookViews>
  <sheets>
    <sheet name="Introduction" sheetId="1" r:id="rId1"/>
    <sheet name="ByRun" sheetId="2" r:id="rId2"/>
    <sheet name="ByDate" sheetId="3" r:id="rId3"/>
    <sheet name="ByDateGrf" sheetId="4" r:id="rId4"/>
    <sheet name="ByDateGrfAim" sheetId="5" r:id="rId5"/>
  </sheets>
  <definedNames/>
  <calcPr fullCalcOnLoad="1"/>
</workbook>
</file>

<file path=xl/sharedStrings.xml><?xml version="1.0" encoding="utf-8"?>
<sst xmlns="http://schemas.openxmlformats.org/spreadsheetml/2006/main" count="152" uniqueCount="134">
  <si>
    <t>Volume of Data Taken in MICE</t>
  </si>
  <si>
    <t>Starting Run</t>
  </si>
  <si>
    <t>GB</t>
  </si>
  <si>
    <t>Date</t>
  </si>
  <si>
    <t>Cum. MB</t>
  </si>
  <si>
    <t>Cum. TB</t>
  </si>
  <si>
    <t>Aim by MICE end</t>
  </si>
  <si>
    <t>MB</t>
  </si>
  <si>
    <t>Step IV</t>
  </si>
  <si>
    <t>MDR</t>
  </si>
  <si>
    <t>Shifter Training</t>
  </si>
  <si>
    <t>MDR 2</t>
  </si>
  <si>
    <t>Mar.-Apr. Weekend Running</t>
  </si>
  <si>
    <t>MDR3</t>
  </si>
  <si>
    <t>June Runs</t>
  </si>
  <si>
    <t>July run</t>
  </si>
  <si>
    <t>Noise for tests</t>
  </si>
  <si>
    <t>MDR4</t>
  </si>
  <si>
    <t>Run Control Test</t>
  </si>
  <si>
    <t>Straight-through tracks</t>
  </si>
  <si>
    <t>Tracker calib with SSU on</t>
  </si>
  <si>
    <t>Test with SSU on</t>
  </si>
  <si>
    <t>MDR5</t>
  </si>
  <si>
    <t>FCU alignment</t>
  </si>
  <si>
    <t>Xenon absorber</t>
  </si>
  <si>
    <t>TOF2 Calibration</t>
  </si>
  <si>
    <t>Alignment</t>
  </si>
  <si>
    <t>Empty Absorber</t>
  </si>
  <si>
    <t>Rate Study</t>
  </si>
  <si>
    <t>LiH, no DS</t>
  </si>
  <si>
    <t>LiH</t>
  </si>
  <si>
    <t>Test (inc. MDR6)</t>
  </si>
  <si>
    <t>MDR7</t>
  </si>
  <si>
    <t>TOF calibration</t>
  </si>
  <si>
    <t>Detector Alignment</t>
  </si>
  <si>
    <t>Detector Alignment, CC Magnet Alignment and pionic beamline tests</t>
  </si>
  <si>
    <t>CC Magnet Alignment and Diffuser Study</t>
  </si>
  <si>
    <t>MDR8b</t>
  </si>
  <si>
    <t>SSU Alignment</t>
  </si>
  <si>
    <t>Enhanced scattering/energy loss</t>
  </si>
  <si>
    <t>Straight Tracks</t>
  </si>
  <si>
    <t>Beamline Tuning and Diffuser tests</t>
  </si>
  <si>
    <t>MDR9</t>
  </si>
  <si>
    <t>Tasks H1 diffuser, H2 scattering, H3 muons, beam tuning</t>
  </si>
  <si>
    <t>Straight Tracks S1 detector alignment, some S2 scattering</t>
  </si>
  <si>
    <t>Tasks H4 Emittance Reduction, H5 Magnet alignment, H6 Diffuser Scan</t>
  </si>
  <si>
    <t xml:space="preserve">Tasks H7 Emittance Reduction, H8 Magnet alignment </t>
  </si>
  <si>
    <t>Beam Tuning, Tasks H9 Emittance Reduction, H10 Magnet alignment</t>
  </si>
  <si>
    <t>Beam Tuning, Tasks H11 Emittance Reduction, H12 Magnet alignment</t>
  </si>
  <si>
    <t>Beam Tuning, Tasks S3 Detector alignment, S4 TOF calibration</t>
  </si>
  <si>
    <t>MDR10</t>
  </si>
  <si>
    <t>Tracker calibration, Tracker timing, DAQ tests</t>
  </si>
  <si>
    <t>S5b Detector alignment, S6a,b TOF calibration</t>
  </si>
  <si>
    <t>H17 momentum scan</t>
  </si>
  <si>
    <t>H14 magnet alignment, Q456 tune, H13 emittance reduction</t>
  </si>
  <si>
    <t>H15 Emittance reduction, H16 momentum scan</t>
  </si>
  <si>
    <t>S7 Detector alignment, S8 TOF calibration</t>
  </si>
  <si>
    <t>MDR11</t>
  </si>
  <si>
    <t>TOF calibration, Q789 tracking test</t>
  </si>
  <si>
    <t>MDR12, TOF calibration</t>
  </si>
  <si>
    <t>S9 Gaseous Neon scattering, S10 Detector Alignment</t>
  </si>
  <si>
    <t>S11 Empty Absorber scattering</t>
  </si>
  <si>
    <t>MDR13</t>
  </si>
  <si>
    <t>MDR14</t>
  </si>
  <si>
    <t>Beamline Tuning</t>
  </si>
  <si>
    <t>Beamline Tuning, H22 Momentum Scan</t>
  </si>
  <si>
    <t>H20 emittance reduction with partial LH2</t>
  </si>
  <si>
    <t>H23 Emittance Reduction with LH2</t>
  </si>
  <si>
    <t>H25 Emittance Reduction with LH2</t>
  </si>
  <si>
    <t>S14 LH2 scattering</t>
  </si>
  <si>
    <t>S14 LH2 scattering, test</t>
  </si>
  <si>
    <t>H26 Emittance Reduction with LH2</t>
  </si>
  <si>
    <t>H27 Momentum Scan</t>
  </si>
  <si>
    <t>H28 Emittance Reduction with LH2, beamline tuning</t>
  </si>
  <si>
    <t>H29 Momentum Scan</t>
  </si>
  <si>
    <t>H30 Emittance Reduction with LH2</t>
  </si>
  <si>
    <t>H31 Emittance Reduction with LH2, H32 Momentum Scan, H33 beamline tuning</t>
  </si>
  <si>
    <t>H35 Emittance Reduction with LH2, H34 beamline tuning</t>
  </si>
  <si>
    <t>H36 Emittance Reduction with LH2, H37 beamline tuning</t>
  </si>
  <si>
    <t>DAQ test, H37 Emittance Reduction</t>
  </si>
  <si>
    <t>H38 Emittance Reduction with partial LH2, beamline tuning, DFC test, TOF Calibration</t>
  </si>
  <si>
    <t>TOF Calibration, S13 Detector Alignment</t>
  </si>
  <si>
    <t>H39 Emittance Reduction with empty absorber</t>
  </si>
  <si>
    <t>DAQ test</t>
  </si>
  <si>
    <t>H40 Emittance Reduction with empty absorber</t>
  </si>
  <si>
    <t>Tracker timing</t>
  </si>
  <si>
    <t>SP5 Dipole failure</t>
  </si>
  <si>
    <t>S15 Empty-Absorber scattering</t>
  </si>
  <si>
    <t>Injector PSU failure</t>
  </si>
  <si>
    <t>DFC test</t>
  </si>
  <si>
    <t>MDR15</t>
  </si>
  <si>
    <t>Startup Test</t>
  </si>
  <si>
    <t>H42 Emittance Reduction with empty absorber, DAQ test</t>
  </si>
  <si>
    <t>H44 Emittance Reduction with empty absorber</t>
  </si>
  <si>
    <t>Power Cut</t>
  </si>
  <si>
    <t>Test, S15 Empty-Absorber scattering, S16 Detector Alignment</t>
  </si>
  <si>
    <t>S17 TOF Calibration, DAQ test</t>
  </si>
  <si>
    <t>H46 Emittance Reduction with empty absorber</t>
  </si>
  <si>
    <t>H48 Emittance Reduction with empty absorber</t>
  </si>
  <si>
    <t>H49 Momentum Scan with empty absorber</t>
  </si>
  <si>
    <t>H50 Emittance Reduction with empty absorber, DAQ test</t>
  </si>
  <si>
    <t>Absorber Removal</t>
  </si>
  <si>
    <t>S13 and S10 Detector Alignment, Test</t>
  </si>
  <si>
    <t>H51 Emittance Reduction without absorber, Beamline tuning</t>
  </si>
  <si>
    <t>H52 Emittance Reduction without absorber</t>
  </si>
  <si>
    <t>H53 Emittance Reduction without absorber, DAQ test, Reference Run</t>
  </si>
  <si>
    <t>H54 Emittance Reduction without absorber, DAQ test</t>
  </si>
  <si>
    <t>S55 no absorber scattering reference</t>
  </si>
  <si>
    <t>H56 Emittance Reduction without absorber</t>
  </si>
  <si>
    <t>H57 and H58 Emittance Reduction without absorber</t>
  </si>
  <si>
    <t>LiH Absorber install</t>
  </si>
  <si>
    <t>H59 Emittance Reduction with LiH, DAQ tests</t>
  </si>
  <si>
    <t>Wedge Absorber install</t>
  </si>
  <si>
    <t>H60 Emittance Reduction with LiH</t>
  </si>
  <si>
    <t>H61 Emittance Reduction with LiH, Beamline Tuning</t>
  </si>
  <si>
    <t>S18 Polythene scattering, DAQ test</t>
  </si>
  <si>
    <t>H62 Emittance Reduction with Wedge</t>
  </si>
  <si>
    <t>H63 Emittance Reduction with Wedge, DAQ test</t>
  </si>
  <si>
    <t>H64 Emittance Reduction with Wedge</t>
  </si>
  <si>
    <t>Reference Run with Negatives, H65 Negatives Emittance Reduction with Wedge, Close-out</t>
  </si>
  <si>
    <t>Accumulated Volume of Data Taken by the MICE Experiment</t>
  </si>
  <si>
    <t>MICE, the international Muon Ionisation Cooling Experiment, is a project to design, construct, operate and test a cell of a muon ionisation cooling channel that may be used for a future Muon Collider or Neutrino Factory.</t>
  </si>
  <si>
    <t>The object of the MICE experiment is to take a beam of muons created from protons from the ISIS accelerator hitting a titanium target and to show that it is possible to create a narrow intense beam, using detector techniques from particle physics.</t>
  </si>
  <si>
    <t>J.J. Nebrensky, Brunel University</t>
  </si>
  <si>
    <t>This material is provided under CC BY 4.0 (https://creativecommons.org/licenses/by/4.0/)</t>
  </si>
  <si>
    <t xml:space="preserve">This spreadsheet records the cumulative volume of RAW data gathered during MICE, listed both by run century and by date. </t>
  </si>
  <si>
    <t xml:space="preserve">The plots show the accumulation of data with time; plot ByDateGrfAim shows for reference the 30 TB level that was originally expected (MICE Note 255). </t>
  </si>
  <si>
    <t>Data-taking complete</t>
  </si>
  <si>
    <t>http://www.mice.iit.edu/</t>
  </si>
  <si>
    <t>http://micewww.pp.rl.ac.uk/projects/mice</t>
  </si>
  <si>
    <t>See also:</t>
  </si>
  <si>
    <t>The RAW data (The MICE RAW data: doi:10.17633/rd.brunel.3179644) is the binary output from the principal MICE DAQ system.</t>
  </si>
  <si>
    <t>doi:10.17633/rd.brunel.6860738</t>
  </si>
  <si>
    <t>Note that the numbers refer to production data (as written to tape); deleted test data and any replication in downstream storage are excluded.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</si>
</sst>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-yyyy"/>
    <numFmt numFmtId="174" formatCode="[$-809]dd\ mmmm\ yyyy"/>
    <numFmt numFmtId="175" formatCode="[$-809]dd\ mmmm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37" fillId="0" borderId="0" xfId="53" applyAlignment="1" applyProtection="1">
      <alignment horizontal="left" indent="1"/>
      <protection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of RAW Data Taken by MICE</a:t>
            </a:r>
          </a:p>
        </c:rich>
      </c:tx>
      <c:layout>
        <c:manualLayout>
          <c:xMode val="factor"/>
          <c:yMode val="factor"/>
          <c:x val="0.021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85"/>
          <c:w val="0.93275"/>
          <c:h val="0.82275"/>
        </c:manualLayout>
      </c:layout>
      <c:scatterChart>
        <c:scatterStyle val="line"/>
        <c:varyColors val="0"/>
        <c:ser>
          <c:idx val="0"/>
          <c:order val="0"/>
          <c:tx>
            <c:v>MICE RAW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ByDate!$A$5:$A$249</c:f>
              <c:strCache>
                <c:ptCount val="245"/>
                <c:pt idx="0">
                  <c:v>39635</c:v>
                </c:pt>
                <c:pt idx="1">
                  <c:v>39660</c:v>
                </c:pt>
                <c:pt idx="2">
                  <c:v>39693</c:v>
                </c:pt>
                <c:pt idx="3">
                  <c:v>39712</c:v>
                </c:pt>
                <c:pt idx="4">
                  <c:v>39729</c:v>
                </c:pt>
                <c:pt idx="5">
                  <c:v>39743</c:v>
                </c:pt>
                <c:pt idx="6">
                  <c:v>39756</c:v>
                </c:pt>
                <c:pt idx="7">
                  <c:v>39803</c:v>
                </c:pt>
                <c:pt idx="8">
                  <c:v>40059</c:v>
                </c:pt>
                <c:pt idx="9">
                  <c:v>40090</c:v>
                </c:pt>
                <c:pt idx="10">
                  <c:v>40122</c:v>
                </c:pt>
                <c:pt idx="11">
                  <c:v>40169</c:v>
                </c:pt>
                <c:pt idx="12">
                  <c:v>40208</c:v>
                </c:pt>
                <c:pt idx="13">
                  <c:v>40265</c:v>
                </c:pt>
                <c:pt idx="14">
                  <c:v>40297</c:v>
                </c:pt>
                <c:pt idx="15">
                  <c:v>40330</c:v>
                </c:pt>
                <c:pt idx="16">
                  <c:v>40333</c:v>
                </c:pt>
                <c:pt idx="17">
                  <c:v>40340</c:v>
                </c:pt>
                <c:pt idx="18">
                  <c:v>40344</c:v>
                </c:pt>
                <c:pt idx="19">
                  <c:v>40404</c:v>
                </c:pt>
                <c:pt idx="20">
                  <c:v>40448</c:v>
                </c:pt>
                <c:pt idx="21">
                  <c:v>40450</c:v>
                </c:pt>
                <c:pt idx="22">
                  <c:v>40626</c:v>
                </c:pt>
                <c:pt idx="23">
                  <c:v>40627</c:v>
                </c:pt>
                <c:pt idx="24">
                  <c:v>40659</c:v>
                </c:pt>
                <c:pt idx="25">
                  <c:v>40660</c:v>
                </c:pt>
                <c:pt idx="26">
                  <c:v>40712</c:v>
                </c:pt>
                <c:pt idx="27">
                  <c:v>40737</c:v>
                </c:pt>
                <c:pt idx="28">
                  <c:v>40745</c:v>
                </c:pt>
                <c:pt idx="29">
                  <c:v>40767</c:v>
                </c:pt>
                <c:pt idx="30">
                  <c:v>40813</c:v>
                </c:pt>
                <c:pt idx="31">
                  <c:v>40815</c:v>
                </c:pt>
                <c:pt idx="32">
                  <c:v>40868</c:v>
                </c:pt>
                <c:pt idx="33">
                  <c:v>40876</c:v>
                </c:pt>
                <c:pt idx="34">
                  <c:v>40878</c:v>
                </c:pt>
                <c:pt idx="35">
                  <c:v>40893</c:v>
                </c:pt>
                <c:pt idx="36">
                  <c:v>40990</c:v>
                </c:pt>
                <c:pt idx="37">
                  <c:v>40994</c:v>
                </c:pt>
                <c:pt idx="38">
                  <c:v>41040</c:v>
                </c:pt>
                <c:pt idx="39">
                  <c:v>41052</c:v>
                </c:pt>
                <c:pt idx="40">
                  <c:v>41194</c:v>
                </c:pt>
                <c:pt idx="41">
                  <c:v>41197</c:v>
                </c:pt>
                <c:pt idx="42">
                  <c:v>41201</c:v>
                </c:pt>
                <c:pt idx="43">
                  <c:v>41203</c:v>
                </c:pt>
                <c:pt idx="44">
                  <c:v>41257</c:v>
                </c:pt>
                <c:pt idx="45">
                  <c:v>41258</c:v>
                </c:pt>
                <c:pt idx="46">
                  <c:v>41317</c:v>
                </c:pt>
                <c:pt idx="47">
                  <c:v>41319</c:v>
                </c:pt>
                <c:pt idx="48">
                  <c:v>41465</c:v>
                </c:pt>
                <c:pt idx="49">
                  <c:v>41472</c:v>
                </c:pt>
                <c:pt idx="50">
                  <c:v>41477</c:v>
                </c:pt>
                <c:pt idx="51">
                  <c:v>41478</c:v>
                </c:pt>
                <c:pt idx="52">
                  <c:v>41488</c:v>
                </c:pt>
                <c:pt idx="53">
                  <c:v>41491</c:v>
                </c:pt>
                <c:pt idx="54">
                  <c:v>41550</c:v>
                </c:pt>
                <c:pt idx="55">
                  <c:v>41554</c:v>
                </c:pt>
                <c:pt idx="56">
                  <c:v>41557</c:v>
                </c:pt>
                <c:pt idx="57">
                  <c:v>41561</c:v>
                </c:pt>
                <c:pt idx="58">
                  <c:v>41564</c:v>
                </c:pt>
                <c:pt idx="59">
                  <c:v>41568</c:v>
                </c:pt>
                <c:pt idx="60">
                  <c:v>41572</c:v>
                </c:pt>
                <c:pt idx="61">
                  <c:v>41574</c:v>
                </c:pt>
                <c:pt idx="62">
                  <c:v>41725</c:v>
                </c:pt>
                <c:pt idx="63">
                  <c:v>41734</c:v>
                </c:pt>
                <c:pt idx="64">
                  <c:v>41735</c:v>
                </c:pt>
                <c:pt idx="65">
                  <c:v>41737</c:v>
                </c:pt>
                <c:pt idx="66">
                  <c:v>41818</c:v>
                </c:pt>
                <c:pt idx="67">
                  <c:v>41820</c:v>
                </c:pt>
                <c:pt idx="68">
                  <c:v>42023</c:v>
                </c:pt>
                <c:pt idx="69">
                  <c:v>42024</c:v>
                </c:pt>
                <c:pt idx="70">
                  <c:v>42048</c:v>
                </c:pt>
                <c:pt idx="71">
                  <c:v>42049</c:v>
                </c:pt>
                <c:pt idx="72">
                  <c:v>42067</c:v>
                </c:pt>
                <c:pt idx="73">
                  <c:v>42069</c:v>
                </c:pt>
                <c:pt idx="74">
                  <c:v>42084</c:v>
                </c:pt>
                <c:pt idx="75">
                  <c:v>42120</c:v>
                </c:pt>
                <c:pt idx="76">
                  <c:v>42150</c:v>
                </c:pt>
                <c:pt idx="77">
                  <c:v>42151</c:v>
                </c:pt>
                <c:pt idx="78">
                  <c:v>42157</c:v>
                </c:pt>
                <c:pt idx="79">
                  <c:v>42182</c:v>
                </c:pt>
                <c:pt idx="80">
                  <c:v>42189</c:v>
                </c:pt>
                <c:pt idx="81">
                  <c:v>42190</c:v>
                </c:pt>
                <c:pt idx="82">
                  <c:v>42191</c:v>
                </c:pt>
                <c:pt idx="83">
                  <c:v>42192</c:v>
                </c:pt>
                <c:pt idx="84">
                  <c:v>42203</c:v>
                </c:pt>
                <c:pt idx="85">
                  <c:v>42205</c:v>
                </c:pt>
                <c:pt idx="86">
                  <c:v>42208</c:v>
                </c:pt>
                <c:pt idx="87">
                  <c:v>42209</c:v>
                </c:pt>
                <c:pt idx="88">
                  <c:v>42255</c:v>
                </c:pt>
                <c:pt idx="89">
                  <c:v>42256</c:v>
                </c:pt>
                <c:pt idx="90">
                  <c:v>42262</c:v>
                </c:pt>
                <c:pt idx="91">
                  <c:v>42263</c:v>
                </c:pt>
                <c:pt idx="92">
                  <c:v>42268</c:v>
                </c:pt>
                <c:pt idx="93">
                  <c:v>42270</c:v>
                </c:pt>
                <c:pt idx="94">
                  <c:v>42272</c:v>
                </c:pt>
                <c:pt idx="95">
                  <c:v>42276</c:v>
                </c:pt>
                <c:pt idx="96">
                  <c:v>42283</c:v>
                </c:pt>
                <c:pt idx="97">
                  <c:v>42284</c:v>
                </c:pt>
                <c:pt idx="98">
                  <c:v>42290</c:v>
                </c:pt>
                <c:pt idx="99">
                  <c:v>42291</c:v>
                </c:pt>
                <c:pt idx="100">
                  <c:v>42331</c:v>
                </c:pt>
                <c:pt idx="101">
                  <c:v>42332</c:v>
                </c:pt>
                <c:pt idx="102">
                  <c:v>42341</c:v>
                </c:pt>
                <c:pt idx="103">
                  <c:v>42345</c:v>
                </c:pt>
                <c:pt idx="104">
                  <c:v>42351</c:v>
                </c:pt>
                <c:pt idx="105">
                  <c:v>42355</c:v>
                </c:pt>
                <c:pt idx="106">
                  <c:v>42418</c:v>
                </c:pt>
                <c:pt idx="107">
                  <c:v>42422</c:v>
                </c:pt>
                <c:pt idx="108">
                  <c:v>42423</c:v>
                </c:pt>
                <c:pt idx="109">
                  <c:v>42424</c:v>
                </c:pt>
                <c:pt idx="110">
                  <c:v>42427</c:v>
                </c:pt>
                <c:pt idx="111">
                  <c:v>42428</c:v>
                </c:pt>
                <c:pt idx="112">
                  <c:v>42436</c:v>
                </c:pt>
                <c:pt idx="113">
                  <c:v>42437</c:v>
                </c:pt>
                <c:pt idx="114">
                  <c:v>42439</c:v>
                </c:pt>
                <c:pt idx="115">
                  <c:v>42440</c:v>
                </c:pt>
                <c:pt idx="116">
                  <c:v>42441</c:v>
                </c:pt>
                <c:pt idx="117">
                  <c:v>42453</c:v>
                </c:pt>
                <c:pt idx="118">
                  <c:v>42547</c:v>
                </c:pt>
                <c:pt idx="119">
                  <c:v>42548</c:v>
                </c:pt>
                <c:pt idx="120">
                  <c:v>42557</c:v>
                </c:pt>
                <c:pt idx="121">
                  <c:v>42558</c:v>
                </c:pt>
                <c:pt idx="122">
                  <c:v>42561</c:v>
                </c:pt>
                <c:pt idx="123">
                  <c:v>42565</c:v>
                </c:pt>
                <c:pt idx="124">
                  <c:v>42576</c:v>
                </c:pt>
                <c:pt idx="125">
                  <c:v>42579</c:v>
                </c:pt>
                <c:pt idx="126">
                  <c:v>42633</c:v>
                </c:pt>
                <c:pt idx="127">
                  <c:v>42634</c:v>
                </c:pt>
                <c:pt idx="128">
                  <c:v>42635</c:v>
                </c:pt>
                <c:pt idx="129">
                  <c:v>42637</c:v>
                </c:pt>
                <c:pt idx="130">
                  <c:v>42643</c:v>
                </c:pt>
                <c:pt idx="131">
                  <c:v>42644</c:v>
                </c:pt>
                <c:pt idx="132">
                  <c:v>42646</c:v>
                </c:pt>
                <c:pt idx="133">
                  <c:v>42648</c:v>
                </c:pt>
                <c:pt idx="134">
                  <c:v>42650</c:v>
                </c:pt>
                <c:pt idx="135">
                  <c:v>42652</c:v>
                </c:pt>
                <c:pt idx="136">
                  <c:v>42660</c:v>
                </c:pt>
                <c:pt idx="137">
                  <c:v>42661</c:v>
                </c:pt>
                <c:pt idx="138">
                  <c:v>42665</c:v>
                </c:pt>
                <c:pt idx="139">
                  <c:v>42668</c:v>
                </c:pt>
                <c:pt idx="140">
                  <c:v>42670</c:v>
                </c:pt>
                <c:pt idx="141">
                  <c:v>42671</c:v>
                </c:pt>
                <c:pt idx="142">
                  <c:v>42689</c:v>
                </c:pt>
                <c:pt idx="143">
                  <c:v>42690</c:v>
                </c:pt>
                <c:pt idx="144">
                  <c:v>42692</c:v>
                </c:pt>
                <c:pt idx="145">
                  <c:v>42697</c:v>
                </c:pt>
                <c:pt idx="146">
                  <c:v>42699</c:v>
                </c:pt>
                <c:pt idx="147">
                  <c:v>42701</c:v>
                </c:pt>
                <c:pt idx="148">
                  <c:v>42702</c:v>
                </c:pt>
                <c:pt idx="149">
                  <c:v>42709</c:v>
                </c:pt>
                <c:pt idx="150">
                  <c:v>42712</c:v>
                </c:pt>
                <c:pt idx="151">
                  <c:v>42716</c:v>
                </c:pt>
                <c:pt idx="152">
                  <c:v>42718</c:v>
                </c:pt>
                <c:pt idx="153">
                  <c:v>42720</c:v>
                </c:pt>
                <c:pt idx="154">
                  <c:v>42777</c:v>
                </c:pt>
                <c:pt idx="155">
                  <c:v>42778</c:v>
                </c:pt>
                <c:pt idx="156">
                  <c:v>42781</c:v>
                </c:pt>
                <c:pt idx="157">
                  <c:v>42782</c:v>
                </c:pt>
                <c:pt idx="158">
                  <c:v>42783</c:v>
                </c:pt>
                <c:pt idx="159">
                  <c:v>42785</c:v>
                </c:pt>
                <c:pt idx="160">
                  <c:v>42788</c:v>
                </c:pt>
                <c:pt idx="161">
                  <c:v>42789</c:v>
                </c:pt>
                <c:pt idx="162">
                  <c:v>42792</c:v>
                </c:pt>
                <c:pt idx="163">
                  <c:v>42796</c:v>
                </c:pt>
                <c:pt idx="164">
                  <c:v>42800</c:v>
                </c:pt>
                <c:pt idx="165">
                  <c:v>42801</c:v>
                </c:pt>
                <c:pt idx="166">
                  <c:v>42862</c:v>
                </c:pt>
                <c:pt idx="167">
                  <c:v>42863</c:v>
                </c:pt>
                <c:pt idx="168">
                  <c:v>42866</c:v>
                </c:pt>
                <c:pt idx="169">
                  <c:v>42881</c:v>
                </c:pt>
                <c:pt idx="170">
                  <c:v>42882</c:v>
                </c:pt>
                <c:pt idx="171">
                  <c:v>42885</c:v>
                </c:pt>
                <c:pt idx="172">
                  <c:v>42887</c:v>
                </c:pt>
                <c:pt idx="173">
                  <c:v>42986</c:v>
                </c:pt>
                <c:pt idx="174">
                  <c:v>42987</c:v>
                </c:pt>
                <c:pt idx="175">
                  <c:v>42991</c:v>
                </c:pt>
                <c:pt idx="176">
                  <c:v>42992</c:v>
                </c:pt>
                <c:pt idx="177">
                  <c:v>42997</c:v>
                </c:pt>
                <c:pt idx="178">
                  <c:v>42999</c:v>
                </c:pt>
                <c:pt idx="179">
                  <c:v>43000</c:v>
                </c:pt>
                <c:pt idx="180">
                  <c:v>43002</c:v>
                </c:pt>
                <c:pt idx="181">
                  <c:v>43003</c:v>
                </c:pt>
                <c:pt idx="182">
                  <c:v>43005</c:v>
                </c:pt>
                <c:pt idx="183">
                  <c:v>43006</c:v>
                </c:pt>
                <c:pt idx="184">
                  <c:v>43007</c:v>
                </c:pt>
                <c:pt idx="185">
                  <c:v>43009</c:v>
                </c:pt>
                <c:pt idx="186">
                  <c:v>43010</c:v>
                </c:pt>
                <c:pt idx="187">
                  <c:v>43011</c:v>
                </c:pt>
                <c:pt idx="188">
                  <c:v>43012</c:v>
                </c:pt>
                <c:pt idx="189">
                  <c:v>43013</c:v>
                </c:pt>
                <c:pt idx="190">
                  <c:v>43014</c:v>
                </c:pt>
                <c:pt idx="191">
                  <c:v>43015</c:v>
                </c:pt>
                <c:pt idx="192">
                  <c:v>43017</c:v>
                </c:pt>
                <c:pt idx="193">
                  <c:v>43018</c:v>
                </c:pt>
                <c:pt idx="194">
                  <c:v>43019</c:v>
                </c:pt>
                <c:pt idx="195">
                  <c:v>43022</c:v>
                </c:pt>
                <c:pt idx="196">
                  <c:v>43023</c:v>
                </c:pt>
                <c:pt idx="197">
                  <c:v>43024</c:v>
                </c:pt>
                <c:pt idx="198">
                  <c:v>43025</c:v>
                </c:pt>
                <c:pt idx="199">
                  <c:v>43026</c:v>
                </c:pt>
                <c:pt idx="200">
                  <c:v>43028</c:v>
                </c:pt>
                <c:pt idx="201">
                  <c:v>43029</c:v>
                </c:pt>
                <c:pt idx="202">
                  <c:v>43030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43038</c:v>
                </c:pt>
                <c:pt idx="208">
                  <c:v>43039</c:v>
                </c:pt>
                <c:pt idx="209">
                  <c:v>43047</c:v>
                </c:pt>
                <c:pt idx="210">
                  <c:v>43048</c:v>
                </c:pt>
                <c:pt idx="211">
                  <c:v>43052</c:v>
                </c:pt>
                <c:pt idx="212">
                  <c:v>43053</c:v>
                </c:pt>
                <c:pt idx="213">
                  <c:v>43054</c:v>
                </c:pt>
                <c:pt idx="214">
                  <c:v>43055</c:v>
                </c:pt>
                <c:pt idx="215">
                  <c:v>43056</c:v>
                </c:pt>
                <c:pt idx="216">
                  <c:v>43057</c:v>
                </c:pt>
                <c:pt idx="217">
                  <c:v>43059</c:v>
                </c:pt>
                <c:pt idx="218">
                  <c:v>43060</c:v>
                </c:pt>
                <c:pt idx="219">
                  <c:v>43061</c:v>
                </c:pt>
                <c:pt idx="220">
                  <c:v>43062</c:v>
                </c:pt>
                <c:pt idx="221">
                  <c:v>43063</c:v>
                </c:pt>
                <c:pt idx="222">
                  <c:v>43064</c:v>
                </c:pt>
                <c:pt idx="223">
                  <c:v>43065</c:v>
                </c:pt>
                <c:pt idx="224">
                  <c:v>43066</c:v>
                </c:pt>
                <c:pt idx="225">
                  <c:v>43068</c:v>
                </c:pt>
                <c:pt idx="226">
                  <c:v>43069</c:v>
                </c:pt>
                <c:pt idx="227">
                  <c:v>43070</c:v>
                </c:pt>
                <c:pt idx="228">
                  <c:v>43071</c:v>
                </c:pt>
                <c:pt idx="229">
                  <c:v>43072</c:v>
                </c:pt>
                <c:pt idx="230">
                  <c:v>43073</c:v>
                </c:pt>
                <c:pt idx="231">
                  <c:v>43074</c:v>
                </c:pt>
                <c:pt idx="232">
                  <c:v>43075</c:v>
                </c:pt>
                <c:pt idx="233">
                  <c:v>43077</c:v>
                </c:pt>
                <c:pt idx="234">
                  <c:v>43078</c:v>
                </c:pt>
                <c:pt idx="235">
                  <c:v>43080</c:v>
                </c:pt>
                <c:pt idx="236">
                  <c:v>43081</c:v>
                </c:pt>
                <c:pt idx="237">
                  <c:v>43082</c:v>
                </c:pt>
                <c:pt idx="238">
                  <c:v>43083</c:v>
                </c:pt>
                <c:pt idx="239">
                  <c:v>43083</c:v>
                </c:pt>
                <c:pt idx="240">
                  <c:v>43084</c:v>
                </c:pt>
                <c:pt idx="241">
                  <c:v>43086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</c:strCache>
            </c:strRef>
          </c:xVal>
          <c:yVal>
            <c:numRef>
              <c:f>ByDate!$C$5:$C$249</c:f>
              <c:numCache>
                <c:ptCount val="245"/>
                <c:pt idx="0">
                  <c:v>0</c:v>
                </c:pt>
                <c:pt idx="1">
                  <c:v>0.0302734375</c:v>
                </c:pt>
                <c:pt idx="2">
                  <c:v>0.0302734375</c:v>
                </c:pt>
                <c:pt idx="3">
                  <c:v>0.031252479553222655</c:v>
                </c:pt>
                <c:pt idx="4">
                  <c:v>0.031252479553222655</c:v>
                </c:pt>
                <c:pt idx="5">
                  <c:v>0.04025497436523437</c:v>
                </c:pt>
                <c:pt idx="6">
                  <c:v>0.04025497436523437</c:v>
                </c:pt>
                <c:pt idx="7">
                  <c:v>0.07638778686523437</c:v>
                </c:pt>
                <c:pt idx="8">
                  <c:v>0.07638778686523437</c:v>
                </c:pt>
                <c:pt idx="9">
                  <c:v>0.23947687149047853</c:v>
                </c:pt>
                <c:pt idx="10">
                  <c:v>0.23947687149047853</c:v>
                </c:pt>
                <c:pt idx="11">
                  <c:v>0.3039299964904785</c:v>
                </c:pt>
                <c:pt idx="12">
                  <c:v>0.3039299964904785</c:v>
                </c:pt>
                <c:pt idx="13">
                  <c:v>0.3527581214904785</c:v>
                </c:pt>
                <c:pt idx="14">
                  <c:v>0.3527581214904785</c:v>
                </c:pt>
                <c:pt idx="15">
                  <c:v>0.4158646583557129</c:v>
                </c:pt>
                <c:pt idx="16">
                  <c:v>0.4158646583557129</c:v>
                </c:pt>
                <c:pt idx="17">
                  <c:v>0.41590375900268556</c:v>
                </c:pt>
                <c:pt idx="18">
                  <c:v>0.41590375900268556</c:v>
                </c:pt>
                <c:pt idx="19">
                  <c:v>0.7830531120300293</c:v>
                </c:pt>
                <c:pt idx="20">
                  <c:v>0.7830531120300293</c:v>
                </c:pt>
                <c:pt idx="21">
                  <c:v>0.786803913116455</c:v>
                </c:pt>
                <c:pt idx="22">
                  <c:v>0.786803913116455</c:v>
                </c:pt>
                <c:pt idx="23">
                  <c:v>0.7878825187683105</c:v>
                </c:pt>
                <c:pt idx="24">
                  <c:v>0.7878825187683105</c:v>
                </c:pt>
                <c:pt idx="25">
                  <c:v>0.7878834724426269</c:v>
                </c:pt>
                <c:pt idx="26">
                  <c:v>0.7878834724426269</c:v>
                </c:pt>
                <c:pt idx="27">
                  <c:v>0.7987105369567871</c:v>
                </c:pt>
                <c:pt idx="28">
                  <c:v>0.7987105369567871</c:v>
                </c:pt>
                <c:pt idx="29">
                  <c:v>0.7987563133239746</c:v>
                </c:pt>
                <c:pt idx="30">
                  <c:v>0.7987563133239746</c:v>
                </c:pt>
                <c:pt idx="31">
                  <c:v>0.8007466316223144</c:v>
                </c:pt>
                <c:pt idx="32">
                  <c:v>0.8007466316223144</c:v>
                </c:pt>
                <c:pt idx="33">
                  <c:v>0.8109871864318847</c:v>
                </c:pt>
                <c:pt idx="34">
                  <c:v>0.8109871864318847</c:v>
                </c:pt>
                <c:pt idx="35">
                  <c:v>1.0641753196716308</c:v>
                </c:pt>
                <c:pt idx="36">
                  <c:v>1.0641753196716308</c:v>
                </c:pt>
                <c:pt idx="37">
                  <c:v>1.0711695671081543</c:v>
                </c:pt>
                <c:pt idx="38">
                  <c:v>1.0737664222717285</c:v>
                </c:pt>
                <c:pt idx="39">
                  <c:v>1.1416470527648925</c:v>
                </c:pt>
                <c:pt idx="40">
                  <c:v>1.1416470527648925</c:v>
                </c:pt>
                <c:pt idx="41">
                  <c:v>1.1442782402038574</c:v>
                </c:pt>
                <c:pt idx="42">
                  <c:v>1.1443230628967285</c:v>
                </c:pt>
                <c:pt idx="43">
                  <c:v>1.1463496208190918</c:v>
                </c:pt>
                <c:pt idx="44">
                  <c:v>1.1463591575622558</c:v>
                </c:pt>
                <c:pt idx="45">
                  <c:v>1.1466843605041503</c:v>
                </c:pt>
                <c:pt idx="46">
                  <c:v>1.1466843605041503</c:v>
                </c:pt>
                <c:pt idx="47">
                  <c:v>1.161036205291748</c:v>
                </c:pt>
                <c:pt idx="48">
                  <c:v>1.161036205291748</c:v>
                </c:pt>
                <c:pt idx="49">
                  <c:v>1.1617581367492675</c:v>
                </c:pt>
                <c:pt idx="50">
                  <c:v>1.1617581367492675</c:v>
                </c:pt>
                <c:pt idx="51">
                  <c:v>1.161782932281494</c:v>
                </c:pt>
                <c:pt idx="52">
                  <c:v>1.161782932281494</c:v>
                </c:pt>
                <c:pt idx="53">
                  <c:v>1.1664769172668457</c:v>
                </c:pt>
                <c:pt idx="54">
                  <c:v>1.1664769172668457</c:v>
                </c:pt>
                <c:pt idx="55">
                  <c:v>1.3038079261779785</c:v>
                </c:pt>
                <c:pt idx="56">
                  <c:v>1.3038079261779785</c:v>
                </c:pt>
                <c:pt idx="57">
                  <c:v>1.5466267585754394</c:v>
                </c:pt>
                <c:pt idx="58">
                  <c:v>1.5466267585754394</c:v>
                </c:pt>
                <c:pt idx="59">
                  <c:v>1.6518017768859863</c:v>
                </c:pt>
                <c:pt idx="60">
                  <c:v>1.6518017768859863</c:v>
                </c:pt>
                <c:pt idx="61">
                  <c:v>1.6544463157653808</c:v>
                </c:pt>
                <c:pt idx="62">
                  <c:v>1.6544463157653808</c:v>
                </c:pt>
                <c:pt idx="63">
                  <c:v>1.6547066688537597</c:v>
                </c:pt>
                <c:pt idx="64">
                  <c:v>1.6547066688537597</c:v>
                </c:pt>
                <c:pt idx="65">
                  <c:v>1.654810619354248</c:v>
                </c:pt>
                <c:pt idx="66">
                  <c:v>1.654810619354248</c:v>
                </c:pt>
                <c:pt idx="67">
                  <c:v>1.6602713584899902</c:v>
                </c:pt>
                <c:pt idx="68">
                  <c:v>1.6602713584899902</c:v>
                </c:pt>
                <c:pt idx="69">
                  <c:v>1.6603657722473144</c:v>
                </c:pt>
                <c:pt idx="70">
                  <c:v>1.6603657722473144</c:v>
                </c:pt>
                <c:pt idx="71">
                  <c:v>1.660385799407959</c:v>
                </c:pt>
                <c:pt idx="72">
                  <c:v>1.6605889320373535</c:v>
                </c:pt>
                <c:pt idx="73">
                  <c:v>1.66372652053833</c:v>
                </c:pt>
                <c:pt idx="74">
                  <c:v>1.6640812873840332</c:v>
                </c:pt>
                <c:pt idx="75">
                  <c:v>1.7192179679870605</c:v>
                </c:pt>
                <c:pt idx="76">
                  <c:v>1.7192179679870605</c:v>
                </c:pt>
                <c:pt idx="77">
                  <c:v>1.7194220542907714</c:v>
                </c:pt>
                <c:pt idx="78">
                  <c:v>1.7208935737609863</c:v>
                </c:pt>
                <c:pt idx="79">
                  <c:v>1.881938648223877</c:v>
                </c:pt>
                <c:pt idx="80">
                  <c:v>1.881938648223877</c:v>
                </c:pt>
                <c:pt idx="81">
                  <c:v>1.8897025108337402</c:v>
                </c:pt>
                <c:pt idx="82">
                  <c:v>1.8897025108337402</c:v>
                </c:pt>
                <c:pt idx="83">
                  <c:v>1.8907925605773925</c:v>
                </c:pt>
                <c:pt idx="84">
                  <c:v>1.8907925605773925</c:v>
                </c:pt>
                <c:pt idx="85">
                  <c:v>1.891352367401123</c:v>
                </c:pt>
                <c:pt idx="86">
                  <c:v>1.891352367401123</c:v>
                </c:pt>
                <c:pt idx="87">
                  <c:v>1.9042412757873535</c:v>
                </c:pt>
                <c:pt idx="88">
                  <c:v>1.9043147087097168</c:v>
                </c:pt>
                <c:pt idx="89">
                  <c:v>1.921686840057373</c:v>
                </c:pt>
                <c:pt idx="90">
                  <c:v>1.9224135398864746</c:v>
                </c:pt>
                <c:pt idx="91">
                  <c:v>1.928853702545166</c:v>
                </c:pt>
                <c:pt idx="92">
                  <c:v>1.928853702545166</c:v>
                </c:pt>
                <c:pt idx="93">
                  <c:v>1.9444586753845214</c:v>
                </c:pt>
                <c:pt idx="94">
                  <c:v>1.9444586753845214</c:v>
                </c:pt>
                <c:pt idx="95">
                  <c:v>2.1821543693542482</c:v>
                </c:pt>
                <c:pt idx="96">
                  <c:v>2.1821734428405763</c:v>
                </c:pt>
                <c:pt idx="97">
                  <c:v>2.2088324546813967</c:v>
                </c:pt>
                <c:pt idx="98">
                  <c:v>2.2088324546813967</c:v>
                </c:pt>
                <c:pt idx="99">
                  <c:v>2.2172104835510256</c:v>
                </c:pt>
                <c:pt idx="100">
                  <c:v>2.217897129058838</c:v>
                </c:pt>
                <c:pt idx="101">
                  <c:v>2.226321887969971</c:v>
                </c:pt>
                <c:pt idx="102">
                  <c:v>2.226321887969971</c:v>
                </c:pt>
                <c:pt idx="103">
                  <c:v>2.243363094329834</c:v>
                </c:pt>
                <c:pt idx="104">
                  <c:v>2.243363094329834</c:v>
                </c:pt>
                <c:pt idx="105">
                  <c:v>2.293367099761963</c:v>
                </c:pt>
                <c:pt idx="106">
                  <c:v>2.293367099761963</c:v>
                </c:pt>
                <c:pt idx="107">
                  <c:v>2.2957036018371584</c:v>
                </c:pt>
                <c:pt idx="108">
                  <c:v>2.3146197319030763</c:v>
                </c:pt>
                <c:pt idx="109">
                  <c:v>2.3146197319030763</c:v>
                </c:pt>
                <c:pt idx="110">
                  <c:v>2.3663241386413576</c:v>
                </c:pt>
                <c:pt idx="111">
                  <c:v>2.3663241386413576</c:v>
                </c:pt>
                <c:pt idx="112">
                  <c:v>2.453001689910889</c:v>
                </c:pt>
                <c:pt idx="113">
                  <c:v>2.4656168937683107</c:v>
                </c:pt>
                <c:pt idx="114">
                  <c:v>2.4656168937683107</c:v>
                </c:pt>
                <c:pt idx="115">
                  <c:v>2.4742037773132326</c:v>
                </c:pt>
                <c:pt idx="116">
                  <c:v>2.484341335296631</c:v>
                </c:pt>
                <c:pt idx="117">
                  <c:v>2.7637583732604982</c:v>
                </c:pt>
                <c:pt idx="118">
                  <c:v>2.7646328926086428</c:v>
                </c:pt>
                <c:pt idx="119">
                  <c:v>2.768225383758545</c:v>
                </c:pt>
                <c:pt idx="120">
                  <c:v>2.768225383758545</c:v>
                </c:pt>
                <c:pt idx="121">
                  <c:v>2.790517520904541</c:v>
                </c:pt>
                <c:pt idx="122">
                  <c:v>2.8697554588317873</c:v>
                </c:pt>
                <c:pt idx="123">
                  <c:v>2.8697554588317873</c:v>
                </c:pt>
                <c:pt idx="124">
                  <c:v>3.255968761444092</c:v>
                </c:pt>
                <c:pt idx="125">
                  <c:v>3.482308101654053</c:v>
                </c:pt>
                <c:pt idx="126">
                  <c:v>3.4828497886657717</c:v>
                </c:pt>
                <c:pt idx="127">
                  <c:v>3.483650875091553</c:v>
                </c:pt>
                <c:pt idx="128">
                  <c:v>3.483650875091553</c:v>
                </c:pt>
                <c:pt idx="129">
                  <c:v>3.505252552032471</c:v>
                </c:pt>
                <c:pt idx="130">
                  <c:v>3.511574459075928</c:v>
                </c:pt>
                <c:pt idx="131">
                  <c:v>3.525718402862549</c:v>
                </c:pt>
                <c:pt idx="132">
                  <c:v>3.525718402862549</c:v>
                </c:pt>
                <c:pt idx="133">
                  <c:v>3.5402905464172365</c:v>
                </c:pt>
                <c:pt idx="134">
                  <c:v>3.561973285675049</c:v>
                </c:pt>
                <c:pt idx="135">
                  <c:v>3.5894076347351076</c:v>
                </c:pt>
                <c:pt idx="136">
                  <c:v>3.5894076347351076</c:v>
                </c:pt>
                <c:pt idx="137">
                  <c:v>3.5908152580261232</c:v>
                </c:pt>
                <c:pt idx="138">
                  <c:v>3.629830074310303</c:v>
                </c:pt>
                <c:pt idx="139">
                  <c:v>3.629830074310303</c:v>
                </c:pt>
                <c:pt idx="140">
                  <c:v>3.89417142868042</c:v>
                </c:pt>
                <c:pt idx="141">
                  <c:v>4.016382884979248</c:v>
                </c:pt>
                <c:pt idx="142">
                  <c:v>4.016382884979248</c:v>
                </c:pt>
                <c:pt idx="143">
                  <c:v>4.017471981048584</c:v>
                </c:pt>
                <c:pt idx="144">
                  <c:v>4.017471981048584</c:v>
                </c:pt>
                <c:pt idx="145">
                  <c:v>4.157623958587647</c:v>
                </c:pt>
                <c:pt idx="146">
                  <c:v>4.157695484161377</c:v>
                </c:pt>
                <c:pt idx="147">
                  <c:v>4.23751802444458</c:v>
                </c:pt>
                <c:pt idx="148">
                  <c:v>4.23751802444458</c:v>
                </c:pt>
                <c:pt idx="149">
                  <c:v>4.406030368804932</c:v>
                </c:pt>
                <c:pt idx="150">
                  <c:v>4.74003381729126</c:v>
                </c:pt>
                <c:pt idx="151">
                  <c:v>5.200169277191162</c:v>
                </c:pt>
                <c:pt idx="152">
                  <c:v>5.491542530059815</c:v>
                </c:pt>
                <c:pt idx="153">
                  <c:v>5.647959423065186</c:v>
                </c:pt>
                <c:pt idx="154">
                  <c:v>5.648002338409424</c:v>
                </c:pt>
                <c:pt idx="155">
                  <c:v>5.6490246772766115</c:v>
                </c:pt>
                <c:pt idx="156">
                  <c:v>5.650069904327393</c:v>
                </c:pt>
                <c:pt idx="157">
                  <c:v>5.659385395050049</c:v>
                </c:pt>
                <c:pt idx="158">
                  <c:v>5.659385395050049</c:v>
                </c:pt>
                <c:pt idx="159">
                  <c:v>5.710376453399658</c:v>
                </c:pt>
                <c:pt idx="160">
                  <c:v>5.710376453399658</c:v>
                </c:pt>
                <c:pt idx="161">
                  <c:v>5.75458402633667</c:v>
                </c:pt>
                <c:pt idx="162">
                  <c:v>5.981144618988037</c:v>
                </c:pt>
                <c:pt idx="163">
                  <c:v>5.981144618988037</c:v>
                </c:pt>
                <c:pt idx="164">
                  <c:v>6.394554805755615</c:v>
                </c:pt>
                <c:pt idx="165">
                  <c:v>6.461653423309326</c:v>
                </c:pt>
                <c:pt idx="166">
                  <c:v>6.462974262237549</c:v>
                </c:pt>
                <c:pt idx="167">
                  <c:v>6.463074398040772</c:v>
                </c:pt>
                <c:pt idx="168">
                  <c:v>6.480154705047608</c:v>
                </c:pt>
                <c:pt idx="169">
                  <c:v>6.480508518218994</c:v>
                </c:pt>
                <c:pt idx="170">
                  <c:v>6.488181781768799</c:v>
                </c:pt>
                <c:pt idx="171">
                  <c:v>6.743263912200928</c:v>
                </c:pt>
                <c:pt idx="172">
                  <c:v>6.916099262237549</c:v>
                </c:pt>
                <c:pt idx="173">
                  <c:v>6.916099262237549</c:v>
                </c:pt>
                <c:pt idx="174">
                  <c:v>6.918995571136475</c:v>
                </c:pt>
                <c:pt idx="175">
                  <c:v>6.918995571136475</c:v>
                </c:pt>
                <c:pt idx="176">
                  <c:v>6.925418567657471</c:v>
                </c:pt>
                <c:pt idx="177">
                  <c:v>6.925418567657471</c:v>
                </c:pt>
                <c:pt idx="178">
                  <c:v>7.041857433319092</c:v>
                </c:pt>
                <c:pt idx="179">
                  <c:v>7.074710559844971</c:v>
                </c:pt>
                <c:pt idx="180">
                  <c:v>7.60557336807251</c:v>
                </c:pt>
                <c:pt idx="181">
                  <c:v>7.665568065643311</c:v>
                </c:pt>
                <c:pt idx="182">
                  <c:v>7.948799800872803</c:v>
                </c:pt>
                <c:pt idx="183">
                  <c:v>8.217234325408935</c:v>
                </c:pt>
                <c:pt idx="184">
                  <c:v>8.296540927886962</c:v>
                </c:pt>
                <c:pt idx="185">
                  <c:v>8.580871295928954</c:v>
                </c:pt>
                <c:pt idx="186">
                  <c:v>8.789579105377197</c:v>
                </c:pt>
                <c:pt idx="187">
                  <c:v>9.021791172027587</c:v>
                </c:pt>
                <c:pt idx="188">
                  <c:v>9.13037462234497</c:v>
                </c:pt>
                <c:pt idx="189">
                  <c:v>9.256284427642822</c:v>
                </c:pt>
                <c:pt idx="190">
                  <c:v>9.342160892486572</c:v>
                </c:pt>
                <c:pt idx="191">
                  <c:v>9.449404430389404</c:v>
                </c:pt>
                <c:pt idx="192">
                  <c:v>9.868570041656493</c:v>
                </c:pt>
                <c:pt idx="193">
                  <c:v>10.03068037033081</c:v>
                </c:pt>
                <c:pt idx="194">
                  <c:v>10.18329496383667</c:v>
                </c:pt>
                <c:pt idx="195">
                  <c:v>10.444911670684814</c:v>
                </c:pt>
                <c:pt idx="196">
                  <c:v>10.557321262359618</c:v>
                </c:pt>
                <c:pt idx="197">
                  <c:v>10.599518489837646</c:v>
                </c:pt>
                <c:pt idx="198">
                  <c:v>10.604301166534423</c:v>
                </c:pt>
                <c:pt idx="199">
                  <c:v>10.60446901321411</c:v>
                </c:pt>
                <c:pt idx="200">
                  <c:v>10.60446901321411</c:v>
                </c:pt>
                <c:pt idx="201">
                  <c:v>10.891767215728759</c:v>
                </c:pt>
                <c:pt idx="202">
                  <c:v>10.895227146148681</c:v>
                </c:pt>
                <c:pt idx="203">
                  <c:v>11.023782444000243</c:v>
                </c:pt>
                <c:pt idx="204">
                  <c:v>11.119936656951904</c:v>
                </c:pt>
                <c:pt idx="205">
                  <c:v>11.140758228302001</c:v>
                </c:pt>
                <c:pt idx="206">
                  <c:v>11.141292285919189</c:v>
                </c:pt>
                <c:pt idx="207">
                  <c:v>11.141292285919189</c:v>
                </c:pt>
                <c:pt idx="208">
                  <c:v>11.141332340240478</c:v>
                </c:pt>
                <c:pt idx="209">
                  <c:v>11.141332340240478</c:v>
                </c:pt>
                <c:pt idx="210">
                  <c:v>11.144183826446532</c:v>
                </c:pt>
                <c:pt idx="211">
                  <c:v>11.144183826446532</c:v>
                </c:pt>
                <c:pt idx="212">
                  <c:v>11.146441173553466</c:v>
                </c:pt>
                <c:pt idx="213">
                  <c:v>11.146441173553466</c:v>
                </c:pt>
                <c:pt idx="214">
                  <c:v>11.29265375137329</c:v>
                </c:pt>
                <c:pt idx="215">
                  <c:v>11.420710277557372</c:v>
                </c:pt>
                <c:pt idx="216">
                  <c:v>11.595979404449462</c:v>
                </c:pt>
                <c:pt idx="217">
                  <c:v>11.933253002166747</c:v>
                </c:pt>
                <c:pt idx="218">
                  <c:v>11.933253002166747</c:v>
                </c:pt>
                <c:pt idx="219">
                  <c:v>12.132003498077392</c:v>
                </c:pt>
                <c:pt idx="220">
                  <c:v>12.271117877960204</c:v>
                </c:pt>
                <c:pt idx="221">
                  <c:v>12.47992296218872</c:v>
                </c:pt>
                <c:pt idx="222">
                  <c:v>12.66060037612915</c:v>
                </c:pt>
                <c:pt idx="223">
                  <c:v>12.800294589996337</c:v>
                </c:pt>
                <c:pt idx="224">
                  <c:v>12.968685817718505</c:v>
                </c:pt>
                <c:pt idx="225">
                  <c:v>12.968685817718505</c:v>
                </c:pt>
                <c:pt idx="226">
                  <c:v>13.074943256378173</c:v>
                </c:pt>
                <c:pt idx="227">
                  <c:v>13.249760341644286</c:v>
                </c:pt>
                <c:pt idx="228">
                  <c:v>13.448997211456298</c:v>
                </c:pt>
                <c:pt idx="229">
                  <c:v>13.654314708709716</c:v>
                </c:pt>
                <c:pt idx="230">
                  <c:v>13.843818378448486</c:v>
                </c:pt>
                <c:pt idx="231">
                  <c:v>13.856517505645751</c:v>
                </c:pt>
                <c:pt idx="232">
                  <c:v>13.98175401687622</c:v>
                </c:pt>
                <c:pt idx="233">
                  <c:v>14.240268421173095</c:v>
                </c:pt>
                <c:pt idx="234">
                  <c:v>14.262384128570556</c:v>
                </c:pt>
                <c:pt idx="235">
                  <c:v>14.262384128570556</c:v>
                </c:pt>
                <c:pt idx="236">
                  <c:v>14.419578266143798</c:v>
                </c:pt>
                <c:pt idx="237">
                  <c:v>14.572324466705322</c:v>
                </c:pt>
                <c:pt idx="238">
                  <c:v>14.674118709564208</c:v>
                </c:pt>
                <c:pt idx="239">
                  <c:v>14.674118709564208</c:v>
                </c:pt>
                <c:pt idx="240">
                  <c:v>14.791369152069091</c:v>
                </c:pt>
                <c:pt idx="241">
                  <c:v>15.152308177947997</c:v>
                </c:pt>
                <c:pt idx="242">
                  <c:v>15.301203441619872</c:v>
                </c:pt>
                <c:pt idx="243">
                  <c:v>15.498839092254638</c:v>
                </c:pt>
                <c:pt idx="244">
                  <c:v>15.571654033660888</c:v>
                </c:pt>
              </c:numCache>
            </c:numRef>
          </c:yVal>
          <c:smooth val="0"/>
        </c:ser>
        <c:axId val="19685289"/>
        <c:axId val="42949874"/>
      </c:scatterChart>
      <c:valAx>
        <c:axId val="19685289"/>
        <c:scaling>
          <c:orientation val="minMax"/>
          <c:max val="43150"/>
          <c:min val="396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74"/>
        <c:crosses val="autoZero"/>
        <c:crossBetween val="midCat"/>
        <c:dispUnits/>
      </c:valAx>
      <c:valAx>
        <c:axId val="4294987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Data Volume [TB]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95"/>
          <c:y val="0.95075"/>
          <c:w val="0.187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of RAW Data Taken by MICE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175"/>
          <c:w val="0.93775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ByDate!$A$4:$A$250</c:f>
              <c:strCache>
                <c:ptCount val="247"/>
                <c:pt idx="0">
                  <c:v>39448</c:v>
                </c:pt>
                <c:pt idx="1">
                  <c:v>39635</c:v>
                </c:pt>
                <c:pt idx="2">
                  <c:v>39660</c:v>
                </c:pt>
                <c:pt idx="3">
                  <c:v>39693</c:v>
                </c:pt>
                <c:pt idx="4">
                  <c:v>39712</c:v>
                </c:pt>
                <c:pt idx="5">
                  <c:v>39729</c:v>
                </c:pt>
                <c:pt idx="6">
                  <c:v>39743</c:v>
                </c:pt>
                <c:pt idx="7">
                  <c:v>39756</c:v>
                </c:pt>
                <c:pt idx="8">
                  <c:v>39803</c:v>
                </c:pt>
                <c:pt idx="9">
                  <c:v>40059</c:v>
                </c:pt>
                <c:pt idx="10">
                  <c:v>40090</c:v>
                </c:pt>
                <c:pt idx="11">
                  <c:v>40122</c:v>
                </c:pt>
                <c:pt idx="12">
                  <c:v>40169</c:v>
                </c:pt>
                <c:pt idx="13">
                  <c:v>40208</c:v>
                </c:pt>
                <c:pt idx="14">
                  <c:v>40265</c:v>
                </c:pt>
                <c:pt idx="15">
                  <c:v>40297</c:v>
                </c:pt>
                <c:pt idx="16">
                  <c:v>40330</c:v>
                </c:pt>
                <c:pt idx="17">
                  <c:v>40333</c:v>
                </c:pt>
                <c:pt idx="18">
                  <c:v>40340</c:v>
                </c:pt>
                <c:pt idx="19">
                  <c:v>40344</c:v>
                </c:pt>
                <c:pt idx="20">
                  <c:v>40404</c:v>
                </c:pt>
                <c:pt idx="21">
                  <c:v>40448</c:v>
                </c:pt>
                <c:pt idx="22">
                  <c:v>40450</c:v>
                </c:pt>
                <c:pt idx="23">
                  <c:v>40626</c:v>
                </c:pt>
                <c:pt idx="24">
                  <c:v>40627</c:v>
                </c:pt>
                <c:pt idx="25">
                  <c:v>40659</c:v>
                </c:pt>
                <c:pt idx="26">
                  <c:v>40660</c:v>
                </c:pt>
                <c:pt idx="27">
                  <c:v>40712</c:v>
                </c:pt>
                <c:pt idx="28">
                  <c:v>40737</c:v>
                </c:pt>
                <c:pt idx="29">
                  <c:v>40745</c:v>
                </c:pt>
                <c:pt idx="30">
                  <c:v>40767</c:v>
                </c:pt>
                <c:pt idx="31">
                  <c:v>40813</c:v>
                </c:pt>
                <c:pt idx="32">
                  <c:v>40815</c:v>
                </c:pt>
                <c:pt idx="33">
                  <c:v>40868</c:v>
                </c:pt>
                <c:pt idx="34">
                  <c:v>40876</c:v>
                </c:pt>
                <c:pt idx="35">
                  <c:v>40878</c:v>
                </c:pt>
                <c:pt idx="36">
                  <c:v>40893</c:v>
                </c:pt>
                <c:pt idx="37">
                  <c:v>40990</c:v>
                </c:pt>
                <c:pt idx="38">
                  <c:v>40994</c:v>
                </c:pt>
                <c:pt idx="39">
                  <c:v>41040</c:v>
                </c:pt>
                <c:pt idx="40">
                  <c:v>41052</c:v>
                </c:pt>
                <c:pt idx="41">
                  <c:v>41194</c:v>
                </c:pt>
                <c:pt idx="42">
                  <c:v>41197</c:v>
                </c:pt>
                <c:pt idx="43">
                  <c:v>41201</c:v>
                </c:pt>
                <c:pt idx="44">
                  <c:v>41203</c:v>
                </c:pt>
                <c:pt idx="45">
                  <c:v>41257</c:v>
                </c:pt>
                <c:pt idx="46">
                  <c:v>41258</c:v>
                </c:pt>
                <c:pt idx="47">
                  <c:v>41317</c:v>
                </c:pt>
                <c:pt idx="48">
                  <c:v>41319</c:v>
                </c:pt>
                <c:pt idx="49">
                  <c:v>41465</c:v>
                </c:pt>
                <c:pt idx="50">
                  <c:v>41472</c:v>
                </c:pt>
                <c:pt idx="51">
                  <c:v>41477</c:v>
                </c:pt>
                <c:pt idx="52">
                  <c:v>41478</c:v>
                </c:pt>
                <c:pt idx="53">
                  <c:v>41488</c:v>
                </c:pt>
                <c:pt idx="54">
                  <c:v>41491</c:v>
                </c:pt>
                <c:pt idx="55">
                  <c:v>41550</c:v>
                </c:pt>
                <c:pt idx="56">
                  <c:v>41554</c:v>
                </c:pt>
                <c:pt idx="57">
                  <c:v>41557</c:v>
                </c:pt>
                <c:pt idx="58">
                  <c:v>41561</c:v>
                </c:pt>
                <c:pt idx="59">
                  <c:v>41564</c:v>
                </c:pt>
                <c:pt idx="60">
                  <c:v>41568</c:v>
                </c:pt>
                <c:pt idx="61">
                  <c:v>41572</c:v>
                </c:pt>
                <c:pt idx="62">
                  <c:v>41574</c:v>
                </c:pt>
                <c:pt idx="63">
                  <c:v>41725</c:v>
                </c:pt>
                <c:pt idx="64">
                  <c:v>41734</c:v>
                </c:pt>
                <c:pt idx="65">
                  <c:v>41735</c:v>
                </c:pt>
                <c:pt idx="66">
                  <c:v>41737</c:v>
                </c:pt>
                <c:pt idx="67">
                  <c:v>41818</c:v>
                </c:pt>
                <c:pt idx="68">
                  <c:v>41820</c:v>
                </c:pt>
                <c:pt idx="69">
                  <c:v>42023</c:v>
                </c:pt>
                <c:pt idx="70">
                  <c:v>42024</c:v>
                </c:pt>
                <c:pt idx="71">
                  <c:v>42048</c:v>
                </c:pt>
                <c:pt idx="72">
                  <c:v>42049</c:v>
                </c:pt>
                <c:pt idx="73">
                  <c:v>42067</c:v>
                </c:pt>
                <c:pt idx="74">
                  <c:v>42069</c:v>
                </c:pt>
                <c:pt idx="75">
                  <c:v>42084</c:v>
                </c:pt>
                <c:pt idx="76">
                  <c:v>42120</c:v>
                </c:pt>
                <c:pt idx="77">
                  <c:v>42150</c:v>
                </c:pt>
                <c:pt idx="78">
                  <c:v>42151</c:v>
                </c:pt>
                <c:pt idx="79">
                  <c:v>42157</c:v>
                </c:pt>
                <c:pt idx="80">
                  <c:v>42182</c:v>
                </c:pt>
                <c:pt idx="81">
                  <c:v>42189</c:v>
                </c:pt>
                <c:pt idx="82">
                  <c:v>42190</c:v>
                </c:pt>
                <c:pt idx="83">
                  <c:v>42191</c:v>
                </c:pt>
                <c:pt idx="84">
                  <c:v>42192</c:v>
                </c:pt>
                <c:pt idx="85">
                  <c:v>42203</c:v>
                </c:pt>
                <c:pt idx="86">
                  <c:v>42205</c:v>
                </c:pt>
                <c:pt idx="87">
                  <c:v>42208</c:v>
                </c:pt>
                <c:pt idx="88">
                  <c:v>42209</c:v>
                </c:pt>
                <c:pt idx="89">
                  <c:v>42255</c:v>
                </c:pt>
                <c:pt idx="90">
                  <c:v>42256</c:v>
                </c:pt>
                <c:pt idx="91">
                  <c:v>42262</c:v>
                </c:pt>
                <c:pt idx="92">
                  <c:v>42263</c:v>
                </c:pt>
                <c:pt idx="93">
                  <c:v>42268</c:v>
                </c:pt>
                <c:pt idx="94">
                  <c:v>42270</c:v>
                </c:pt>
                <c:pt idx="95">
                  <c:v>42272</c:v>
                </c:pt>
                <c:pt idx="96">
                  <c:v>42276</c:v>
                </c:pt>
                <c:pt idx="97">
                  <c:v>42283</c:v>
                </c:pt>
                <c:pt idx="98">
                  <c:v>42284</c:v>
                </c:pt>
                <c:pt idx="99">
                  <c:v>42290</c:v>
                </c:pt>
                <c:pt idx="100">
                  <c:v>42291</c:v>
                </c:pt>
                <c:pt idx="101">
                  <c:v>42331</c:v>
                </c:pt>
                <c:pt idx="102">
                  <c:v>42332</c:v>
                </c:pt>
                <c:pt idx="103">
                  <c:v>42341</c:v>
                </c:pt>
                <c:pt idx="104">
                  <c:v>42345</c:v>
                </c:pt>
                <c:pt idx="105">
                  <c:v>42351</c:v>
                </c:pt>
                <c:pt idx="106">
                  <c:v>42355</c:v>
                </c:pt>
                <c:pt idx="107">
                  <c:v>42418</c:v>
                </c:pt>
                <c:pt idx="108">
                  <c:v>42422</c:v>
                </c:pt>
                <c:pt idx="109">
                  <c:v>42423</c:v>
                </c:pt>
                <c:pt idx="110">
                  <c:v>42424</c:v>
                </c:pt>
                <c:pt idx="111">
                  <c:v>42427</c:v>
                </c:pt>
                <c:pt idx="112">
                  <c:v>42428</c:v>
                </c:pt>
                <c:pt idx="113">
                  <c:v>42436</c:v>
                </c:pt>
                <c:pt idx="114">
                  <c:v>42437</c:v>
                </c:pt>
                <c:pt idx="115">
                  <c:v>42439</c:v>
                </c:pt>
                <c:pt idx="116">
                  <c:v>42440</c:v>
                </c:pt>
                <c:pt idx="117">
                  <c:v>42441</c:v>
                </c:pt>
                <c:pt idx="118">
                  <c:v>42453</c:v>
                </c:pt>
                <c:pt idx="119">
                  <c:v>42547</c:v>
                </c:pt>
                <c:pt idx="120">
                  <c:v>42548</c:v>
                </c:pt>
                <c:pt idx="121">
                  <c:v>42557</c:v>
                </c:pt>
                <c:pt idx="122">
                  <c:v>42558</c:v>
                </c:pt>
                <c:pt idx="123">
                  <c:v>42561</c:v>
                </c:pt>
                <c:pt idx="124">
                  <c:v>42565</c:v>
                </c:pt>
                <c:pt idx="125">
                  <c:v>42576</c:v>
                </c:pt>
                <c:pt idx="126">
                  <c:v>42579</c:v>
                </c:pt>
                <c:pt idx="127">
                  <c:v>42633</c:v>
                </c:pt>
                <c:pt idx="128">
                  <c:v>42634</c:v>
                </c:pt>
                <c:pt idx="129">
                  <c:v>42635</c:v>
                </c:pt>
                <c:pt idx="130">
                  <c:v>42637</c:v>
                </c:pt>
                <c:pt idx="131">
                  <c:v>42643</c:v>
                </c:pt>
                <c:pt idx="132">
                  <c:v>42644</c:v>
                </c:pt>
                <c:pt idx="133">
                  <c:v>42646</c:v>
                </c:pt>
                <c:pt idx="134">
                  <c:v>42648</c:v>
                </c:pt>
                <c:pt idx="135">
                  <c:v>42650</c:v>
                </c:pt>
                <c:pt idx="136">
                  <c:v>42652</c:v>
                </c:pt>
                <c:pt idx="137">
                  <c:v>42660</c:v>
                </c:pt>
                <c:pt idx="138">
                  <c:v>42661</c:v>
                </c:pt>
                <c:pt idx="139">
                  <c:v>42665</c:v>
                </c:pt>
                <c:pt idx="140">
                  <c:v>42668</c:v>
                </c:pt>
                <c:pt idx="141">
                  <c:v>42670</c:v>
                </c:pt>
                <c:pt idx="142">
                  <c:v>42671</c:v>
                </c:pt>
                <c:pt idx="143">
                  <c:v>42689</c:v>
                </c:pt>
                <c:pt idx="144">
                  <c:v>42690</c:v>
                </c:pt>
                <c:pt idx="145">
                  <c:v>42692</c:v>
                </c:pt>
                <c:pt idx="146">
                  <c:v>42697</c:v>
                </c:pt>
                <c:pt idx="147">
                  <c:v>42699</c:v>
                </c:pt>
                <c:pt idx="148">
                  <c:v>42701</c:v>
                </c:pt>
                <c:pt idx="149">
                  <c:v>42702</c:v>
                </c:pt>
                <c:pt idx="150">
                  <c:v>42709</c:v>
                </c:pt>
                <c:pt idx="151">
                  <c:v>42712</c:v>
                </c:pt>
                <c:pt idx="152">
                  <c:v>42716</c:v>
                </c:pt>
                <c:pt idx="153">
                  <c:v>42718</c:v>
                </c:pt>
                <c:pt idx="154">
                  <c:v>42720</c:v>
                </c:pt>
                <c:pt idx="155">
                  <c:v>42777</c:v>
                </c:pt>
                <c:pt idx="156">
                  <c:v>42778</c:v>
                </c:pt>
                <c:pt idx="157">
                  <c:v>42781</c:v>
                </c:pt>
                <c:pt idx="158">
                  <c:v>42782</c:v>
                </c:pt>
                <c:pt idx="159">
                  <c:v>42783</c:v>
                </c:pt>
                <c:pt idx="160">
                  <c:v>42785</c:v>
                </c:pt>
                <c:pt idx="161">
                  <c:v>42788</c:v>
                </c:pt>
                <c:pt idx="162">
                  <c:v>42789</c:v>
                </c:pt>
                <c:pt idx="163">
                  <c:v>42792</c:v>
                </c:pt>
                <c:pt idx="164">
                  <c:v>42796</c:v>
                </c:pt>
                <c:pt idx="165">
                  <c:v>42800</c:v>
                </c:pt>
                <c:pt idx="166">
                  <c:v>42801</c:v>
                </c:pt>
                <c:pt idx="167">
                  <c:v>42862</c:v>
                </c:pt>
                <c:pt idx="168">
                  <c:v>42863</c:v>
                </c:pt>
                <c:pt idx="169">
                  <c:v>42866</c:v>
                </c:pt>
                <c:pt idx="170">
                  <c:v>42881</c:v>
                </c:pt>
                <c:pt idx="171">
                  <c:v>42882</c:v>
                </c:pt>
                <c:pt idx="172">
                  <c:v>42885</c:v>
                </c:pt>
                <c:pt idx="173">
                  <c:v>42887</c:v>
                </c:pt>
                <c:pt idx="174">
                  <c:v>42986</c:v>
                </c:pt>
                <c:pt idx="175">
                  <c:v>42987</c:v>
                </c:pt>
                <c:pt idx="176">
                  <c:v>42991</c:v>
                </c:pt>
                <c:pt idx="177">
                  <c:v>42992</c:v>
                </c:pt>
                <c:pt idx="178">
                  <c:v>42997</c:v>
                </c:pt>
                <c:pt idx="179">
                  <c:v>42999</c:v>
                </c:pt>
                <c:pt idx="180">
                  <c:v>43000</c:v>
                </c:pt>
                <c:pt idx="181">
                  <c:v>43002</c:v>
                </c:pt>
                <c:pt idx="182">
                  <c:v>43003</c:v>
                </c:pt>
                <c:pt idx="183">
                  <c:v>43005</c:v>
                </c:pt>
                <c:pt idx="184">
                  <c:v>43006</c:v>
                </c:pt>
                <c:pt idx="185">
                  <c:v>43007</c:v>
                </c:pt>
                <c:pt idx="186">
                  <c:v>43009</c:v>
                </c:pt>
                <c:pt idx="187">
                  <c:v>43010</c:v>
                </c:pt>
                <c:pt idx="188">
                  <c:v>43011</c:v>
                </c:pt>
                <c:pt idx="189">
                  <c:v>43012</c:v>
                </c:pt>
                <c:pt idx="190">
                  <c:v>43013</c:v>
                </c:pt>
                <c:pt idx="191">
                  <c:v>43014</c:v>
                </c:pt>
                <c:pt idx="192">
                  <c:v>43015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43028</c:v>
                </c:pt>
                <c:pt idx="202">
                  <c:v>43029</c:v>
                </c:pt>
                <c:pt idx="203">
                  <c:v>43030</c:v>
                </c:pt>
                <c:pt idx="204">
                  <c:v>43031</c:v>
                </c:pt>
                <c:pt idx="205">
                  <c:v>43032</c:v>
                </c:pt>
                <c:pt idx="206">
                  <c:v>43033</c:v>
                </c:pt>
                <c:pt idx="207">
                  <c:v>43034</c:v>
                </c:pt>
                <c:pt idx="208">
                  <c:v>43038</c:v>
                </c:pt>
                <c:pt idx="209">
                  <c:v>43039</c:v>
                </c:pt>
                <c:pt idx="210">
                  <c:v>43047</c:v>
                </c:pt>
                <c:pt idx="211">
                  <c:v>43048</c:v>
                </c:pt>
                <c:pt idx="212">
                  <c:v>43052</c:v>
                </c:pt>
                <c:pt idx="213">
                  <c:v>43053</c:v>
                </c:pt>
                <c:pt idx="214">
                  <c:v>43054</c:v>
                </c:pt>
                <c:pt idx="215">
                  <c:v>43055</c:v>
                </c:pt>
                <c:pt idx="216">
                  <c:v>43056</c:v>
                </c:pt>
                <c:pt idx="217">
                  <c:v>43057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43064</c:v>
                </c:pt>
                <c:pt idx="224">
                  <c:v>43065</c:v>
                </c:pt>
                <c:pt idx="225">
                  <c:v>43066</c:v>
                </c:pt>
                <c:pt idx="226">
                  <c:v>43068</c:v>
                </c:pt>
                <c:pt idx="227">
                  <c:v>43069</c:v>
                </c:pt>
                <c:pt idx="228">
                  <c:v>43070</c:v>
                </c:pt>
                <c:pt idx="229">
                  <c:v>43071</c:v>
                </c:pt>
                <c:pt idx="230">
                  <c:v>43072</c:v>
                </c:pt>
                <c:pt idx="231">
                  <c:v>43073</c:v>
                </c:pt>
                <c:pt idx="232">
                  <c:v>43074</c:v>
                </c:pt>
                <c:pt idx="233">
                  <c:v>43075</c:v>
                </c:pt>
                <c:pt idx="234">
                  <c:v>43077</c:v>
                </c:pt>
                <c:pt idx="235">
                  <c:v>43078</c:v>
                </c:pt>
                <c:pt idx="236">
                  <c:v>43080</c:v>
                </c:pt>
                <c:pt idx="237">
                  <c:v>43081</c:v>
                </c:pt>
                <c:pt idx="238">
                  <c:v>43082</c:v>
                </c:pt>
                <c:pt idx="239">
                  <c:v>43083</c:v>
                </c:pt>
                <c:pt idx="240">
                  <c:v>43083</c:v>
                </c:pt>
                <c:pt idx="241">
                  <c:v>43084</c:v>
                </c:pt>
                <c:pt idx="242">
                  <c:v>43086</c:v>
                </c:pt>
                <c:pt idx="243">
                  <c:v>43087</c:v>
                </c:pt>
                <c:pt idx="244">
                  <c:v>43088</c:v>
                </c:pt>
                <c:pt idx="245">
                  <c:v>43089</c:v>
                </c:pt>
                <c:pt idx="246">
                  <c:v>43454</c:v>
                </c:pt>
              </c:strCache>
            </c:strRef>
          </c:xVal>
          <c:yVal>
            <c:numRef>
              <c:f>ByDate!$C$4:$C$250</c:f>
              <c:numCache>
                <c:ptCount val="247"/>
                <c:pt idx="1">
                  <c:v>0</c:v>
                </c:pt>
                <c:pt idx="2">
                  <c:v>0.0302734375</c:v>
                </c:pt>
                <c:pt idx="3">
                  <c:v>0.0302734375</c:v>
                </c:pt>
                <c:pt idx="4">
                  <c:v>0.031252479553222655</c:v>
                </c:pt>
                <c:pt idx="5">
                  <c:v>0.031252479553222655</c:v>
                </c:pt>
                <c:pt idx="6">
                  <c:v>0.04025497436523437</c:v>
                </c:pt>
                <c:pt idx="7">
                  <c:v>0.04025497436523437</c:v>
                </c:pt>
                <c:pt idx="8">
                  <c:v>0.07638778686523437</c:v>
                </c:pt>
                <c:pt idx="9">
                  <c:v>0.07638778686523437</c:v>
                </c:pt>
                <c:pt idx="10">
                  <c:v>0.23947687149047853</c:v>
                </c:pt>
                <c:pt idx="11">
                  <c:v>0.23947687149047853</c:v>
                </c:pt>
                <c:pt idx="12">
                  <c:v>0.3039299964904785</c:v>
                </c:pt>
                <c:pt idx="13">
                  <c:v>0.3039299964904785</c:v>
                </c:pt>
                <c:pt idx="14">
                  <c:v>0.3527581214904785</c:v>
                </c:pt>
                <c:pt idx="15">
                  <c:v>0.3527581214904785</c:v>
                </c:pt>
                <c:pt idx="16">
                  <c:v>0.4158646583557129</c:v>
                </c:pt>
                <c:pt idx="17">
                  <c:v>0.4158646583557129</c:v>
                </c:pt>
                <c:pt idx="18">
                  <c:v>0.41590375900268556</c:v>
                </c:pt>
                <c:pt idx="19">
                  <c:v>0.41590375900268556</c:v>
                </c:pt>
                <c:pt idx="20">
                  <c:v>0.7830531120300293</c:v>
                </c:pt>
                <c:pt idx="21">
                  <c:v>0.7830531120300293</c:v>
                </c:pt>
                <c:pt idx="22">
                  <c:v>0.786803913116455</c:v>
                </c:pt>
                <c:pt idx="23">
                  <c:v>0.786803913116455</c:v>
                </c:pt>
                <c:pt idx="24">
                  <c:v>0.7878825187683105</c:v>
                </c:pt>
                <c:pt idx="25">
                  <c:v>0.7878825187683105</c:v>
                </c:pt>
                <c:pt idx="26">
                  <c:v>0.7878834724426269</c:v>
                </c:pt>
                <c:pt idx="27">
                  <c:v>0.7878834724426269</c:v>
                </c:pt>
                <c:pt idx="28">
                  <c:v>0.7987105369567871</c:v>
                </c:pt>
                <c:pt idx="29">
                  <c:v>0.7987105369567871</c:v>
                </c:pt>
                <c:pt idx="30">
                  <c:v>0.7987563133239746</c:v>
                </c:pt>
                <c:pt idx="31">
                  <c:v>0.7987563133239746</c:v>
                </c:pt>
                <c:pt idx="32">
                  <c:v>0.8007466316223144</c:v>
                </c:pt>
                <c:pt idx="33">
                  <c:v>0.8007466316223144</c:v>
                </c:pt>
                <c:pt idx="34">
                  <c:v>0.8109871864318847</c:v>
                </c:pt>
                <c:pt idx="35">
                  <c:v>0.8109871864318847</c:v>
                </c:pt>
                <c:pt idx="36">
                  <c:v>1.0641753196716308</c:v>
                </c:pt>
                <c:pt idx="37">
                  <c:v>1.0641753196716308</c:v>
                </c:pt>
                <c:pt idx="38">
                  <c:v>1.0711695671081543</c:v>
                </c:pt>
                <c:pt idx="39">
                  <c:v>1.0737664222717285</c:v>
                </c:pt>
                <c:pt idx="40">
                  <c:v>1.1416470527648925</c:v>
                </c:pt>
                <c:pt idx="41">
                  <c:v>1.1416470527648925</c:v>
                </c:pt>
                <c:pt idx="42">
                  <c:v>1.1442782402038574</c:v>
                </c:pt>
                <c:pt idx="43">
                  <c:v>1.1443230628967285</c:v>
                </c:pt>
                <c:pt idx="44">
                  <c:v>1.1463496208190918</c:v>
                </c:pt>
                <c:pt idx="45">
                  <c:v>1.1463591575622558</c:v>
                </c:pt>
                <c:pt idx="46">
                  <c:v>1.1466843605041503</c:v>
                </c:pt>
                <c:pt idx="47">
                  <c:v>1.1466843605041503</c:v>
                </c:pt>
                <c:pt idx="48">
                  <c:v>1.161036205291748</c:v>
                </c:pt>
                <c:pt idx="49">
                  <c:v>1.161036205291748</c:v>
                </c:pt>
                <c:pt idx="50">
                  <c:v>1.1617581367492675</c:v>
                </c:pt>
                <c:pt idx="51">
                  <c:v>1.1617581367492675</c:v>
                </c:pt>
                <c:pt idx="52">
                  <c:v>1.161782932281494</c:v>
                </c:pt>
                <c:pt idx="53">
                  <c:v>1.161782932281494</c:v>
                </c:pt>
                <c:pt idx="54">
                  <c:v>1.1664769172668457</c:v>
                </c:pt>
                <c:pt idx="55">
                  <c:v>1.1664769172668457</c:v>
                </c:pt>
                <c:pt idx="56">
                  <c:v>1.3038079261779785</c:v>
                </c:pt>
                <c:pt idx="57">
                  <c:v>1.3038079261779785</c:v>
                </c:pt>
                <c:pt idx="58">
                  <c:v>1.5466267585754394</c:v>
                </c:pt>
                <c:pt idx="59">
                  <c:v>1.5466267585754394</c:v>
                </c:pt>
                <c:pt idx="60">
                  <c:v>1.6518017768859863</c:v>
                </c:pt>
                <c:pt idx="61">
                  <c:v>1.6518017768859863</c:v>
                </c:pt>
                <c:pt idx="62">
                  <c:v>1.6544463157653808</c:v>
                </c:pt>
                <c:pt idx="63">
                  <c:v>1.6544463157653808</c:v>
                </c:pt>
                <c:pt idx="64">
                  <c:v>1.6547066688537597</c:v>
                </c:pt>
                <c:pt idx="65">
                  <c:v>1.6547066688537597</c:v>
                </c:pt>
                <c:pt idx="66">
                  <c:v>1.654810619354248</c:v>
                </c:pt>
                <c:pt idx="67">
                  <c:v>1.654810619354248</c:v>
                </c:pt>
                <c:pt idx="68">
                  <c:v>1.6602713584899902</c:v>
                </c:pt>
                <c:pt idx="69">
                  <c:v>1.6602713584899902</c:v>
                </c:pt>
                <c:pt idx="70">
                  <c:v>1.6603657722473144</c:v>
                </c:pt>
                <c:pt idx="71">
                  <c:v>1.6603657722473144</c:v>
                </c:pt>
                <c:pt idx="72">
                  <c:v>1.660385799407959</c:v>
                </c:pt>
                <c:pt idx="73">
                  <c:v>1.6605889320373535</c:v>
                </c:pt>
                <c:pt idx="74">
                  <c:v>1.66372652053833</c:v>
                </c:pt>
                <c:pt idx="75">
                  <c:v>1.6640812873840332</c:v>
                </c:pt>
                <c:pt idx="76">
                  <c:v>1.7192179679870605</c:v>
                </c:pt>
                <c:pt idx="77">
                  <c:v>1.7192179679870605</c:v>
                </c:pt>
                <c:pt idx="78">
                  <c:v>1.7194220542907714</c:v>
                </c:pt>
                <c:pt idx="79">
                  <c:v>1.7208935737609863</c:v>
                </c:pt>
                <c:pt idx="80">
                  <c:v>1.881938648223877</c:v>
                </c:pt>
                <c:pt idx="81">
                  <c:v>1.881938648223877</c:v>
                </c:pt>
                <c:pt idx="82">
                  <c:v>1.8897025108337402</c:v>
                </c:pt>
                <c:pt idx="83">
                  <c:v>1.8897025108337402</c:v>
                </c:pt>
                <c:pt idx="84">
                  <c:v>1.8907925605773925</c:v>
                </c:pt>
                <c:pt idx="85">
                  <c:v>1.8907925605773925</c:v>
                </c:pt>
                <c:pt idx="86">
                  <c:v>1.891352367401123</c:v>
                </c:pt>
                <c:pt idx="87">
                  <c:v>1.891352367401123</c:v>
                </c:pt>
                <c:pt idx="88">
                  <c:v>1.9042412757873535</c:v>
                </c:pt>
                <c:pt idx="89">
                  <c:v>1.9043147087097168</c:v>
                </c:pt>
                <c:pt idx="90">
                  <c:v>1.921686840057373</c:v>
                </c:pt>
                <c:pt idx="91">
                  <c:v>1.9224135398864746</c:v>
                </c:pt>
                <c:pt idx="92">
                  <c:v>1.928853702545166</c:v>
                </c:pt>
                <c:pt idx="93">
                  <c:v>1.928853702545166</c:v>
                </c:pt>
                <c:pt idx="94">
                  <c:v>1.9444586753845214</c:v>
                </c:pt>
                <c:pt idx="95">
                  <c:v>1.9444586753845214</c:v>
                </c:pt>
                <c:pt idx="96">
                  <c:v>2.1821543693542482</c:v>
                </c:pt>
                <c:pt idx="97">
                  <c:v>2.1821734428405763</c:v>
                </c:pt>
                <c:pt idx="98">
                  <c:v>2.2088324546813967</c:v>
                </c:pt>
                <c:pt idx="99">
                  <c:v>2.2088324546813967</c:v>
                </c:pt>
                <c:pt idx="100">
                  <c:v>2.2172104835510256</c:v>
                </c:pt>
                <c:pt idx="101">
                  <c:v>2.217897129058838</c:v>
                </c:pt>
                <c:pt idx="102">
                  <c:v>2.226321887969971</c:v>
                </c:pt>
                <c:pt idx="103">
                  <c:v>2.226321887969971</c:v>
                </c:pt>
                <c:pt idx="104">
                  <c:v>2.243363094329834</c:v>
                </c:pt>
                <c:pt idx="105">
                  <c:v>2.243363094329834</c:v>
                </c:pt>
                <c:pt idx="106">
                  <c:v>2.293367099761963</c:v>
                </c:pt>
                <c:pt idx="107">
                  <c:v>2.293367099761963</c:v>
                </c:pt>
                <c:pt idx="108">
                  <c:v>2.2957036018371584</c:v>
                </c:pt>
                <c:pt idx="109">
                  <c:v>2.3146197319030763</c:v>
                </c:pt>
                <c:pt idx="110">
                  <c:v>2.3146197319030763</c:v>
                </c:pt>
                <c:pt idx="111">
                  <c:v>2.3663241386413576</c:v>
                </c:pt>
                <c:pt idx="112">
                  <c:v>2.3663241386413576</c:v>
                </c:pt>
                <c:pt idx="113">
                  <c:v>2.453001689910889</c:v>
                </c:pt>
                <c:pt idx="114">
                  <c:v>2.4656168937683107</c:v>
                </c:pt>
                <c:pt idx="115">
                  <c:v>2.4656168937683107</c:v>
                </c:pt>
                <c:pt idx="116">
                  <c:v>2.4742037773132326</c:v>
                </c:pt>
                <c:pt idx="117">
                  <c:v>2.484341335296631</c:v>
                </c:pt>
                <c:pt idx="118">
                  <c:v>2.7637583732604982</c:v>
                </c:pt>
                <c:pt idx="119">
                  <c:v>2.7646328926086428</c:v>
                </c:pt>
                <c:pt idx="120">
                  <c:v>2.768225383758545</c:v>
                </c:pt>
                <c:pt idx="121">
                  <c:v>2.768225383758545</c:v>
                </c:pt>
                <c:pt idx="122">
                  <c:v>2.790517520904541</c:v>
                </c:pt>
                <c:pt idx="123">
                  <c:v>2.8697554588317873</c:v>
                </c:pt>
                <c:pt idx="124">
                  <c:v>2.8697554588317873</c:v>
                </c:pt>
                <c:pt idx="125">
                  <c:v>3.255968761444092</c:v>
                </c:pt>
                <c:pt idx="126">
                  <c:v>3.482308101654053</c:v>
                </c:pt>
                <c:pt idx="127">
                  <c:v>3.4828497886657717</c:v>
                </c:pt>
                <c:pt idx="128">
                  <c:v>3.483650875091553</c:v>
                </c:pt>
                <c:pt idx="129">
                  <c:v>3.483650875091553</c:v>
                </c:pt>
                <c:pt idx="130">
                  <c:v>3.505252552032471</c:v>
                </c:pt>
                <c:pt idx="131">
                  <c:v>3.511574459075928</c:v>
                </c:pt>
                <c:pt idx="132">
                  <c:v>3.525718402862549</c:v>
                </c:pt>
                <c:pt idx="133">
                  <c:v>3.525718402862549</c:v>
                </c:pt>
                <c:pt idx="134">
                  <c:v>3.5402905464172365</c:v>
                </c:pt>
                <c:pt idx="135">
                  <c:v>3.561973285675049</c:v>
                </c:pt>
                <c:pt idx="136">
                  <c:v>3.5894076347351076</c:v>
                </c:pt>
                <c:pt idx="137">
                  <c:v>3.5894076347351076</c:v>
                </c:pt>
                <c:pt idx="138">
                  <c:v>3.5908152580261232</c:v>
                </c:pt>
                <c:pt idx="139">
                  <c:v>3.629830074310303</c:v>
                </c:pt>
                <c:pt idx="140">
                  <c:v>3.629830074310303</c:v>
                </c:pt>
                <c:pt idx="141">
                  <c:v>3.89417142868042</c:v>
                </c:pt>
                <c:pt idx="142">
                  <c:v>4.016382884979248</c:v>
                </c:pt>
                <c:pt idx="143">
                  <c:v>4.016382884979248</c:v>
                </c:pt>
                <c:pt idx="144">
                  <c:v>4.017471981048584</c:v>
                </c:pt>
                <c:pt idx="145">
                  <c:v>4.017471981048584</c:v>
                </c:pt>
                <c:pt idx="146">
                  <c:v>4.157623958587647</c:v>
                </c:pt>
                <c:pt idx="147">
                  <c:v>4.157695484161377</c:v>
                </c:pt>
                <c:pt idx="148">
                  <c:v>4.23751802444458</c:v>
                </c:pt>
                <c:pt idx="149">
                  <c:v>4.23751802444458</c:v>
                </c:pt>
                <c:pt idx="150">
                  <c:v>4.406030368804932</c:v>
                </c:pt>
                <c:pt idx="151">
                  <c:v>4.74003381729126</c:v>
                </c:pt>
                <c:pt idx="152">
                  <c:v>5.200169277191162</c:v>
                </c:pt>
                <c:pt idx="153">
                  <c:v>5.491542530059815</c:v>
                </c:pt>
                <c:pt idx="154">
                  <c:v>5.647959423065186</c:v>
                </c:pt>
                <c:pt idx="155">
                  <c:v>5.648002338409424</c:v>
                </c:pt>
                <c:pt idx="156">
                  <c:v>5.6490246772766115</c:v>
                </c:pt>
                <c:pt idx="157">
                  <c:v>5.650069904327393</c:v>
                </c:pt>
                <c:pt idx="158">
                  <c:v>5.659385395050049</c:v>
                </c:pt>
                <c:pt idx="159">
                  <c:v>5.659385395050049</c:v>
                </c:pt>
                <c:pt idx="160">
                  <c:v>5.710376453399658</c:v>
                </c:pt>
                <c:pt idx="161">
                  <c:v>5.710376453399658</c:v>
                </c:pt>
                <c:pt idx="162">
                  <c:v>5.75458402633667</c:v>
                </c:pt>
                <c:pt idx="163">
                  <c:v>5.981144618988037</c:v>
                </c:pt>
                <c:pt idx="164">
                  <c:v>5.981144618988037</c:v>
                </c:pt>
                <c:pt idx="165">
                  <c:v>6.394554805755615</c:v>
                </c:pt>
                <c:pt idx="166">
                  <c:v>6.461653423309326</c:v>
                </c:pt>
                <c:pt idx="167">
                  <c:v>6.462974262237549</c:v>
                </c:pt>
                <c:pt idx="168">
                  <c:v>6.463074398040772</c:v>
                </c:pt>
                <c:pt idx="169">
                  <c:v>6.480154705047608</c:v>
                </c:pt>
                <c:pt idx="170">
                  <c:v>6.480508518218994</c:v>
                </c:pt>
                <c:pt idx="171">
                  <c:v>6.488181781768799</c:v>
                </c:pt>
                <c:pt idx="172">
                  <c:v>6.743263912200928</c:v>
                </c:pt>
                <c:pt idx="173">
                  <c:v>6.916099262237549</c:v>
                </c:pt>
                <c:pt idx="174">
                  <c:v>6.916099262237549</c:v>
                </c:pt>
                <c:pt idx="175">
                  <c:v>6.918995571136475</c:v>
                </c:pt>
                <c:pt idx="176">
                  <c:v>6.918995571136475</c:v>
                </c:pt>
                <c:pt idx="177">
                  <c:v>6.925418567657471</c:v>
                </c:pt>
                <c:pt idx="178">
                  <c:v>6.925418567657471</c:v>
                </c:pt>
                <c:pt idx="179">
                  <c:v>7.041857433319092</c:v>
                </c:pt>
                <c:pt idx="180">
                  <c:v>7.074710559844971</c:v>
                </c:pt>
                <c:pt idx="181">
                  <c:v>7.60557336807251</c:v>
                </c:pt>
                <c:pt idx="182">
                  <c:v>7.665568065643311</c:v>
                </c:pt>
                <c:pt idx="183">
                  <c:v>7.948799800872803</c:v>
                </c:pt>
                <c:pt idx="184">
                  <c:v>8.217234325408935</c:v>
                </c:pt>
                <c:pt idx="185">
                  <c:v>8.296540927886962</c:v>
                </c:pt>
                <c:pt idx="186">
                  <c:v>8.580871295928954</c:v>
                </c:pt>
                <c:pt idx="187">
                  <c:v>8.789579105377197</c:v>
                </c:pt>
                <c:pt idx="188">
                  <c:v>9.021791172027587</c:v>
                </c:pt>
                <c:pt idx="189">
                  <c:v>9.13037462234497</c:v>
                </c:pt>
                <c:pt idx="190">
                  <c:v>9.256284427642822</c:v>
                </c:pt>
                <c:pt idx="191">
                  <c:v>9.342160892486572</c:v>
                </c:pt>
                <c:pt idx="192">
                  <c:v>9.449404430389404</c:v>
                </c:pt>
                <c:pt idx="193">
                  <c:v>9.868570041656493</c:v>
                </c:pt>
                <c:pt idx="194">
                  <c:v>10.03068037033081</c:v>
                </c:pt>
                <c:pt idx="195">
                  <c:v>10.18329496383667</c:v>
                </c:pt>
                <c:pt idx="196">
                  <c:v>10.444911670684814</c:v>
                </c:pt>
                <c:pt idx="197">
                  <c:v>10.557321262359618</c:v>
                </c:pt>
                <c:pt idx="198">
                  <c:v>10.599518489837646</c:v>
                </c:pt>
                <c:pt idx="199">
                  <c:v>10.604301166534423</c:v>
                </c:pt>
                <c:pt idx="200">
                  <c:v>10.60446901321411</c:v>
                </c:pt>
                <c:pt idx="201">
                  <c:v>10.60446901321411</c:v>
                </c:pt>
                <c:pt idx="202">
                  <c:v>10.891767215728759</c:v>
                </c:pt>
                <c:pt idx="203">
                  <c:v>10.895227146148681</c:v>
                </c:pt>
                <c:pt idx="204">
                  <c:v>11.023782444000243</c:v>
                </c:pt>
                <c:pt idx="205">
                  <c:v>11.119936656951904</c:v>
                </c:pt>
                <c:pt idx="206">
                  <c:v>11.140758228302001</c:v>
                </c:pt>
                <c:pt idx="207">
                  <c:v>11.141292285919189</c:v>
                </c:pt>
                <c:pt idx="208">
                  <c:v>11.141292285919189</c:v>
                </c:pt>
                <c:pt idx="209">
                  <c:v>11.141332340240478</c:v>
                </c:pt>
                <c:pt idx="210">
                  <c:v>11.141332340240478</c:v>
                </c:pt>
                <c:pt idx="211">
                  <c:v>11.144183826446532</c:v>
                </c:pt>
                <c:pt idx="212">
                  <c:v>11.144183826446532</c:v>
                </c:pt>
                <c:pt idx="213">
                  <c:v>11.146441173553466</c:v>
                </c:pt>
                <c:pt idx="214">
                  <c:v>11.146441173553466</c:v>
                </c:pt>
                <c:pt idx="215">
                  <c:v>11.29265375137329</c:v>
                </c:pt>
                <c:pt idx="216">
                  <c:v>11.420710277557372</c:v>
                </c:pt>
                <c:pt idx="217">
                  <c:v>11.595979404449462</c:v>
                </c:pt>
                <c:pt idx="218">
                  <c:v>11.933253002166747</c:v>
                </c:pt>
                <c:pt idx="219">
                  <c:v>11.933253002166747</c:v>
                </c:pt>
                <c:pt idx="220">
                  <c:v>12.132003498077392</c:v>
                </c:pt>
                <c:pt idx="221">
                  <c:v>12.271117877960204</c:v>
                </c:pt>
                <c:pt idx="222">
                  <c:v>12.47992296218872</c:v>
                </c:pt>
                <c:pt idx="223">
                  <c:v>12.66060037612915</c:v>
                </c:pt>
                <c:pt idx="224">
                  <c:v>12.800294589996337</c:v>
                </c:pt>
                <c:pt idx="225">
                  <c:v>12.968685817718505</c:v>
                </c:pt>
                <c:pt idx="226">
                  <c:v>12.968685817718505</c:v>
                </c:pt>
                <c:pt idx="227">
                  <c:v>13.074943256378173</c:v>
                </c:pt>
                <c:pt idx="228">
                  <c:v>13.249760341644286</c:v>
                </c:pt>
                <c:pt idx="229">
                  <c:v>13.448997211456298</c:v>
                </c:pt>
                <c:pt idx="230">
                  <c:v>13.654314708709716</c:v>
                </c:pt>
                <c:pt idx="231">
                  <c:v>13.843818378448486</c:v>
                </c:pt>
                <c:pt idx="232">
                  <c:v>13.856517505645751</c:v>
                </c:pt>
                <c:pt idx="233">
                  <c:v>13.98175401687622</c:v>
                </c:pt>
                <c:pt idx="234">
                  <c:v>14.240268421173095</c:v>
                </c:pt>
                <c:pt idx="235">
                  <c:v>14.262384128570556</c:v>
                </c:pt>
                <c:pt idx="236">
                  <c:v>14.262384128570556</c:v>
                </c:pt>
                <c:pt idx="237">
                  <c:v>14.419578266143798</c:v>
                </c:pt>
                <c:pt idx="238">
                  <c:v>14.572324466705322</c:v>
                </c:pt>
                <c:pt idx="239">
                  <c:v>14.674118709564208</c:v>
                </c:pt>
                <c:pt idx="240">
                  <c:v>14.674118709564208</c:v>
                </c:pt>
                <c:pt idx="241">
                  <c:v>14.791369152069091</c:v>
                </c:pt>
                <c:pt idx="242">
                  <c:v>15.152308177947997</c:v>
                </c:pt>
                <c:pt idx="243">
                  <c:v>15.301203441619872</c:v>
                </c:pt>
                <c:pt idx="244">
                  <c:v>15.498839092254638</c:v>
                </c:pt>
                <c:pt idx="245">
                  <c:v>15.571654033660888</c:v>
                </c:pt>
                <c:pt idx="246">
                  <c:v>15.571654033660888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ByDate!$A$4:$A$250</c:f>
              <c:strCache>
                <c:ptCount val="247"/>
                <c:pt idx="0">
                  <c:v>39448</c:v>
                </c:pt>
                <c:pt idx="1">
                  <c:v>39635</c:v>
                </c:pt>
                <c:pt idx="2">
                  <c:v>39660</c:v>
                </c:pt>
                <c:pt idx="3">
                  <c:v>39693</c:v>
                </c:pt>
                <c:pt idx="4">
                  <c:v>39712</c:v>
                </c:pt>
                <c:pt idx="5">
                  <c:v>39729</c:v>
                </c:pt>
                <c:pt idx="6">
                  <c:v>39743</c:v>
                </c:pt>
                <c:pt idx="7">
                  <c:v>39756</c:v>
                </c:pt>
                <c:pt idx="8">
                  <c:v>39803</c:v>
                </c:pt>
                <c:pt idx="9">
                  <c:v>40059</c:v>
                </c:pt>
                <c:pt idx="10">
                  <c:v>40090</c:v>
                </c:pt>
                <c:pt idx="11">
                  <c:v>40122</c:v>
                </c:pt>
                <c:pt idx="12">
                  <c:v>40169</c:v>
                </c:pt>
                <c:pt idx="13">
                  <c:v>40208</c:v>
                </c:pt>
                <c:pt idx="14">
                  <c:v>40265</c:v>
                </c:pt>
                <c:pt idx="15">
                  <c:v>40297</c:v>
                </c:pt>
                <c:pt idx="16">
                  <c:v>40330</c:v>
                </c:pt>
                <c:pt idx="17">
                  <c:v>40333</c:v>
                </c:pt>
                <c:pt idx="18">
                  <c:v>40340</c:v>
                </c:pt>
                <c:pt idx="19">
                  <c:v>40344</c:v>
                </c:pt>
                <c:pt idx="20">
                  <c:v>40404</c:v>
                </c:pt>
                <c:pt idx="21">
                  <c:v>40448</c:v>
                </c:pt>
                <c:pt idx="22">
                  <c:v>40450</c:v>
                </c:pt>
                <c:pt idx="23">
                  <c:v>40626</c:v>
                </c:pt>
                <c:pt idx="24">
                  <c:v>40627</c:v>
                </c:pt>
                <c:pt idx="25">
                  <c:v>40659</c:v>
                </c:pt>
                <c:pt idx="26">
                  <c:v>40660</c:v>
                </c:pt>
                <c:pt idx="27">
                  <c:v>40712</c:v>
                </c:pt>
                <c:pt idx="28">
                  <c:v>40737</c:v>
                </c:pt>
                <c:pt idx="29">
                  <c:v>40745</c:v>
                </c:pt>
                <c:pt idx="30">
                  <c:v>40767</c:v>
                </c:pt>
                <c:pt idx="31">
                  <c:v>40813</c:v>
                </c:pt>
                <c:pt idx="32">
                  <c:v>40815</c:v>
                </c:pt>
                <c:pt idx="33">
                  <c:v>40868</c:v>
                </c:pt>
                <c:pt idx="34">
                  <c:v>40876</c:v>
                </c:pt>
                <c:pt idx="35">
                  <c:v>40878</c:v>
                </c:pt>
                <c:pt idx="36">
                  <c:v>40893</c:v>
                </c:pt>
                <c:pt idx="37">
                  <c:v>40990</c:v>
                </c:pt>
                <c:pt idx="38">
                  <c:v>40994</c:v>
                </c:pt>
                <c:pt idx="39">
                  <c:v>41040</c:v>
                </c:pt>
                <c:pt idx="40">
                  <c:v>41052</c:v>
                </c:pt>
                <c:pt idx="41">
                  <c:v>41194</c:v>
                </c:pt>
                <c:pt idx="42">
                  <c:v>41197</c:v>
                </c:pt>
                <c:pt idx="43">
                  <c:v>41201</c:v>
                </c:pt>
                <c:pt idx="44">
                  <c:v>41203</c:v>
                </c:pt>
                <c:pt idx="45">
                  <c:v>41257</c:v>
                </c:pt>
                <c:pt idx="46">
                  <c:v>41258</c:v>
                </c:pt>
                <c:pt idx="47">
                  <c:v>41317</c:v>
                </c:pt>
                <c:pt idx="48">
                  <c:v>41319</c:v>
                </c:pt>
                <c:pt idx="49">
                  <c:v>41465</c:v>
                </c:pt>
                <c:pt idx="50">
                  <c:v>41472</c:v>
                </c:pt>
                <c:pt idx="51">
                  <c:v>41477</c:v>
                </c:pt>
                <c:pt idx="52">
                  <c:v>41478</c:v>
                </c:pt>
                <c:pt idx="53">
                  <c:v>41488</c:v>
                </c:pt>
                <c:pt idx="54">
                  <c:v>41491</c:v>
                </c:pt>
                <c:pt idx="55">
                  <c:v>41550</c:v>
                </c:pt>
                <c:pt idx="56">
                  <c:v>41554</c:v>
                </c:pt>
                <c:pt idx="57">
                  <c:v>41557</c:v>
                </c:pt>
                <c:pt idx="58">
                  <c:v>41561</c:v>
                </c:pt>
                <c:pt idx="59">
                  <c:v>41564</c:v>
                </c:pt>
                <c:pt idx="60">
                  <c:v>41568</c:v>
                </c:pt>
                <c:pt idx="61">
                  <c:v>41572</c:v>
                </c:pt>
                <c:pt idx="62">
                  <c:v>41574</c:v>
                </c:pt>
                <c:pt idx="63">
                  <c:v>41725</c:v>
                </c:pt>
                <c:pt idx="64">
                  <c:v>41734</c:v>
                </c:pt>
                <c:pt idx="65">
                  <c:v>41735</c:v>
                </c:pt>
                <c:pt idx="66">
                  <c:v>41737</c:v>
                </c:pt>
                <c:pt idx="67">
                  <c:v>41818</c:v>
                </c:pt>
                <c:pt idx="68">
                  <c:v>41820</c:v>
                </c:pt>
                <c:pt idx="69">
                  <c:v>42023</c:v>
                </c:pt>
                <c:pt idx="70">
                  <c:v>42024</c:v>
                </c:pt>
                <c:pt idx="71">
                  <c:v>42048</c:v>
                </c:pt>
                <c:pt idx="72">
                  <c:v>42049</c:v>
                </c:pt>
                <c:pt idx="73">
                  <c:v>42067</c:v>
                </c:pt>
                <c:pt idx="74">
                  <c:v>42069</c:v>
                </c:pt>
                <c:pt idx="75">
                  <c:v>42084</c:v>
                </c:pt>
                <c:pt idx="76">
                  <c:v>42120</c:v>
                </c:pt>
                <c:pt idx="77">
                  <c:v>42150</c:v>
                </c:pt>
                <c:pt idx="78">
                  <c:v>42151</c:v>
                </c:pt>
                <c:pt idx="79">
                  <c:v>42157</c:v>
                </c:pt>
                <c:pt idx="80">
                  <c:v>42182</c:v>
                </c:pt>
                <c:pt idx="81">
                  <c:v>42189</c:v>
                </c:pt>
                <c:pt idx="82">
                  <c:v>42190</c:v>
                </c:pt>
                <c:pt idx="83">
                  <c:v>42191</c:v>
                </c:pt>
                <c:pt idx="84">
                  <c:v>42192</c:v>
                </c:pt>
                <c:pt idx="85">
                  <c:v>42203</c:v>
                </c:pt>
                <c:pt idx="86">
                  <c:v>42205</c:v>
                </c:pt>
                <c:pt idx="87">
                  <c:v>42208</c:v>
                </c:pt>
                <c:pt idx="88">
                  <c:v>42209</c:v>
                </c:pt>
                <c:pt idx="89">
                  <c:v>42255</c:v>
                </c:pt>
                <c:pt idx="90">
                  <c:v>42256</c:v>
                </c:pt>
                <c:pt idx="91">
                  <c:v>42262</c:v>
                </c:pt>
                <c:pt idx="92">
                  <c:v>42263</c:v>
                </c:pt>
                <c:pt idx="93">
                  <c:v>42268</c:v>
                </c:pt>
                <c:pt idx="94">
                  <c:v>42270</c:v>
                </c:pt>
                <c:pt idx="95">
                  <c:v>42272</c:v>
                </c:pt>
                <c:pt idx="96">
                  <c:v>42276</c:v>
                </c:pt>
                <c:pt idx="97">
                  <c:v>42283</c:v>
                </c:pt>
                <c:pt idx="98">
                  <c:v>42284</c:v>
                </c:pt>
                <c:pt idx="99">
                  <c:v>42290</c:v>
                </c:pt>
                <c:pt idx="100">
                  <c:v>42291</c:v>
                </c:pt>
                <c:pt idx="101">
                  <c:v>42331</c:v>
                </c:pt>
                <c:pt idx="102">
                  <c:v>42332</c:v>
                </c:pt>
                <c:pt idx="103">
                  <c:v>42341</c:v>
                </c:pt>
                <c:pt idx="104">
                  <c:v>42345</c:v>
                </c:pt>
                <c:pt idx="105">
                  <c:v>42351</c:v>
                </c:pt>
                <c:pt idx="106">
                  <c:v>42355</c:v>
                </c:pt>
                <c:pt idx="107">
                  <c:v>42418</c:v>
                </c:pt>
                <c:pt idx="108">
                  <c:v>42422</c:v>
                </c:pt>
                <c:pt idx="109">
                  <c:v>42423</c:v>
                </c:pt>
                <c:pt idx="110">
                  <c:v>42424</c:v>
                </c:pt>
                <c:pt idx="111">
                  <c:v>42427</c:v>
                </c:pt>
                <c:pt idx="112">
                  <c:v>42428</c:v>
                </c:pt>
                <c:pt idx="113">
                  <c:v>42436</c:v>
                </c:pt>
                <c:pt idx="114">
                  <c:v>42437</c:v>
                </c:pt>
                <c:pt idx="115">
                  <c:v>42439</c:v>
                </c:pt>
                <c:pt idx="116">
                  <c:v>42440</c:v>
                </c:pt>
                <c:pt idx="117">
                  <c:v>42441</c:v>
                </c:pt>
                <c:pt idx="118">
                  <c:v>42453</c:v>
                </c:pt>
                <c:pt idx="119">
                  <c:v>42547</c:v>
                </c:pt>
                <c:pt idx="120">
                  <c:v>42548</c:v>
                </c:pt>
                <c:pt idx="121">
                  <c:v>42557</c:v>
                </c:pt>
                <c:pt idx="122">
                  <c:v>42558</c:v>
                </c:pt>
                <c:pt idx="123">
                  <c:v>42561</c:v>
                </c:pt>
                <c:pt idx="124">
                  <c:v>42565</c:v>
                </c:pt>
                <c:pt idx="125">
                  <c:v>42576</c:v>
                </c:pt>
                <c:pt idx="126">
                  <c:v>42579</c:v>
                </c:pt>
                <c:pt idx="127">
                  <c:v>42633</c:v>
                </c:pt>
                <c:pt idx="128">
                  <c:v>42634</c:v>
                </c:pt>
                <c:pt idx="129">
                  <c:v>42635</c:v>
                </c:pt>
                <c:pt idx="130">
                  <c:v>42637</c:v>
                </c:pt>
                <c:pt idx="131">
                  <c:v>42643</c:v>
                </c:pt>
                <c:pt idx="132">
                  <c:v>42644</c:v>
                </c:pt>
                <c:pt idx="133">
                  <c:v>42646</c:v>
                </c:pt>
                <c:pt idx="134">
                  <c:v>42648</c:v>
                </c:pt>
                <c:pt idx="135">
                  <c:v>42650</c:v>
                </c:pt>
                <c:pt idx="136">
                  <c:v>42652</c:v>
                </c:pt>
                <c:pt idx="137">
                  <c:v>42660</c:v>
                </c:pt>
                <c:pt idx="138">
                  <c:v>42661</c:v>
                </c:pt>
                <c:pt idx="139">
                  <c:v>42665</c:v>
                </c:pt>
                <c:pt idx="140">
                  <c:v>42668</c:v>
                </c:pt>
                <c:pt idx="141">
                  <c:v>42670</c:v>
                </c:pt>
                <c:pt idx="142">
                  <c:v>42671</c:v>
                </c:pt>
                <c:pt idx="143">
                  <c:v>42689</c:v>
                </c:pt>
                <c:pt idx="144">
                  <c:v>42690</c:v>
                </c:pt>
                <c:pt idx="145">
                  <c:v>42692</c:v>
                </c:pt>
                <c:pt idx="146">
                  <c:v>42697</c:v>
                </c:pt>
                <c:pt idx="147">
                  <c:v>42699</c:v>
                </c:pt>
                <c:pt idx="148">
                  <c:v>42701</c:v>
                </c:pt>
                <c:pt idx="149">
                  <c:v>42702</c:v>
                </c:pt>
                <c:pt idx="150">
                  <c:v>42709</c:v>
                </c:pt>
                <c:pt idx="151">
                  <c:v>42712</c:v>
                </c:pt>
                <c:pt idx="152">
                  <c:v>42716</c:v>
                </c:pt>
                <c:pt idx="153">
                  <c:v>42718</c:v>
                </c:pt>
                <c:pt idx="154">
                  <c:v>42720</c:v>
                </c:pt>
                <c:pt idx="155">
                  <c:v>42777</c:v>
                </c:pt>
                <c:pt idx="156">
                  <c:v>42778</c:v>
                </c:pt>
                <c:pt idx="157">
                  <c:v>42781</c:v>
                </c:pt>
                <c:pt idx="158">
                  <c:v>42782</c:v>
                </c:pt>
                <c:pt idx="159">
                  <c:v>42783</c:v>
                </c:pt>
                <c:pt idx="160">
                  <c:v>42785</c:v>
                </c:pt>
                <c:pt idx="161">
                  <c:v>42788</c:v>
                </c:pt>
                <c:pt idx="162">
                  <c:v>42789</c:v>
                </c:pt>
                <c:pt idx="163">
                  <c:v>42792</c:v>
                </c:pt>
                <c:pt idx="164">
                  <c:v>42796</c:v>
                </c:pt>
                <c:pt idx="165">
                  <c:v>42800</c:v>
                </c:pt>
                <c:pt idx="166">
                  <c:v>42801</c:v>
                </c:pt>
                <c:pt idx="167">
                  <c:v>42862</c:v>
                </c:pt>
                <c:pt idx="168">
                  <c:v>42863</c:v>
                </c:pt>
                <c:pt idx="169">
                  <c:v>42866</c:v>
                </c:pt>
                <c:pt idx="170">
                  <c:v>42881</c:v>
                </c:pt>
                <c:pt idx="171">
                  <c:v>42882</c:v>
                </c:pt>
                <c:pt idx="172">
                  <c:v>42885</c:v>
                </c:pt>
                <c:pt idx="173">
                  <c:v>42887</c:v>
                </c:pt>
                <c:pt idx="174">
                  <c:v>42986</c:v>
                </c:pt>
                <c:pt idx="175">
                  <c:v>42987</c:v>
                </c:pt>
                <c:pt idx="176">
                  <c:v>42991</c:v>
                </c:pt>
                <c:pt idx="177">
                  <c:v>42992</c:v>
                </c:pt>
                <c:pt idx="178">
                  <c:v>42997</c:v>
                </c:pt>
                <c:pt idx="179">
                  <c:v>42999</c:v>
                </c:pt>
                <c:pt idx="180">
                  <c:v>43000</c:v>
                </c:pt>
                <c:pt idx="181">
                  <c:v>43002</c:v>
                </c:pt>
                <c:pt idx="182">
                  <c:v>43003</c:v>
                </c:pt>
                <c:pt idx="183">
                  <c:v>43005</c:v>
                </c:pt>
                <c:pt idx="184">
                  <c:v>43006</c:v>
                </c:pt>
                <c:pt idx="185">
                  <c:v>43007</c:v>
                </c:pt>
                <c:pt idx="186">
                  <c:v>43009</c:v>
                </c:pt>
                <c:pt idx="187">
                  <c:v>43010</c:v>
                </c:pt>
                <c:pt idx="188">
                  <c:v>43011</c:v>
                </c:pt>
                <c:pt idx="189">
                  <c:v>43012</c:v>
                </c:pt>
                <c:pt idx="190">
                  <c:v>43013</c:v>
                </c:pt>
                <c:pt idx="191">
                  <c:v>43014</c:v>
                </c:pt>
                <c:pt idx="192">
                  <c:v>43015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43028</c:v>
                </c:pt>
                <c:pt idx="202">
                  <c:v>43029</c:v>
                </c:pt>
                <c:pt idx="203">
                  <c:v>43030</c:v>
                </c:pt>
                <c:pt idx="204">
                  <c:v>43031</c:v>
                </c:pt>
                <c:pt idx="205">
                  <c:v>43032</c:v>
                </c:pt>
                <c:pt idx="206">
                  <c:v>43033</c:v>
                </c:pt>
                <c:pt idx="207">
                  <c:v>43034</c:v>
                </c:pt>
                <c:pt idx="208">
                  <c:v>43038</c:v>
                </c:pt>
                <c:pt idx="209">
                  <c:v>43039</c:v>
                </c:pt>
                <c:pt idx="210">
                  <c:v>43047</c:v>
                </c:pt>
                <c:pt idx="211">
                  <c:v>43048</c:v>
                </c:pt>
                <c:pt idx="212">
                  <c:v>43052</c:v>
                </c:pt>
                <c:pt idx="213">
                  <c:v>43053</c:v>
                </c:pt>
                <c:pt idx="214">
                  <c:v>43054</c:v>
                </c:pt>
                <c:pt idx="215">
                  <c:v>43055</c:v>
                </c:pt>
                <c:pt idx="216">
                  <c:v>43056</c:v>
                </c:pt>
                <c:pt idx="217">
                  <c:v>43057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43064</c:v>
                </c:pt>
                <c:pt idx="224">
                  <c:v>43065</c:v>
                </c:pt>
                <c:pt idx="225">
                  <c:v>43066</c:v>
                </c:pt>
                <c:pt idx="226">
                  <c:v>43068</c:v>
                </c:pt>
                <c:pt idx="227">
                  <c:v>43069</c:v>
                </c:pt>
                <c:pt idx="228">
                  <c:v>43070</c:v>
                </c:pt>
                <c:pt idx="229">
                  <c:v>43071</c:v>
                </c:pt>
                <c:pt idx="230">
                  <c:v>43072</c:v>
                </c:pt>
                <c:pt idx="231">
                  <c:v>43073</c:v>
                </c:pt>
                <c:pt idx="232">
                  <c:v>43074</c:v>
                </c:pt>
                <c:pt idx="233">
                  <c:v>43075</c:v>
                </c:pt>
                <c:pt idx="234">
                  <c:v>43077</c:v>
                </c:pt>
                <c:pt idx="235">
                  <c:v>43078</c:v>
                </c:pt>
                <c:pt idx="236">
                  <c:v>43080</c:v>
                </c:pt>
                <c:pt idx="237">
                  <c:v>43081</c:v>
                </c:pt>
                <c:pt idx="238">
                  <c:v>43082</c:v>
                </c:pt>
                <c:pt idx="239">
                  <c:v>43083</c:v>
                </c:pt>
                <c:pt idx="240">
                  <c:v>43083</c:v>
                </c:pt>
                <c:pt idx="241">
                  <c:v>43084</c:v>
                </c:pt>
                <c:pt idx="242">
                  <c:v>43086</c:v>
                </c:pt>
                <c:pt idx="243">
                  <c:v>43087</c:v>
                </c:pt>
                <c:pt idx="244">
                  <c:v>43088</c:v>
                </c:pt>
                <c:pt idx="245">
                  <c:v>43089</c:v>
                </c:pt>
                <c:pt idx="246">
                  <c:v>43454</c:v>
                </c:pt>
              </c:strCache>
            </c:strRef>
          </c:xVal>
          <c:yVal>
            <c:numRef>
              <c:f>ByDate!$E$4:$E$250</c:f>
              <c:numCache>
                <c:ptCount val="2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</c:numCache>
            </c:numRef>
          </c:yVal>
          <c:smooth val="0"/>
        </c:ser>
        <c:axId val="51004547"/>
        <c:axId val="56387740"/>
      </c:scatterChart>
      <c:valAx>
        <c:axId val="51004547"/>
        <c:scaling>
          <c:orientation val="minMax"/>
          <c:max val="43150"/>
          <c:min val="396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740"/>
        <c:crosses val="autoZero"/>
        <c:crossBetween val="midCat"/>
        <c:dispUnits/>
      </c:valAx>
      <c:valAx>
        <c:axId val="5638774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Data Volume [TB]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5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075"/>
          <c:w val="0.317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e.iit.edu/" TargetMode="External" /><Relationship Id="rId2" Type="http://schemas.openxmlformats.org/officeDocument/2006/relationships/hyperlink" Target="http://micewww.pp.rl.ac.uk/projects/mic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ht="12.75">
      <c r="A1" s="5" t="s">
        <v>120</v>
      </c>
    </row>
    <row r="2" ht="12.75">
      <c r="A2" s="5" t="s">
        <v>123</v>
      </c>
    </row>
    <row r="3" ht="12.75">
      <c r="A3" s="8" t="s">
        <v>132</v>
      </c>
    </row>
    <row r="4" ht="12.75">
      <c r="A4" s="8"/>
    </row>
    <row r="5" ht="12.75">
      <c r="A5" t="s">
        <v>121</v>
      </c>
    </row>
    <row r="6" ht="12.75">
      <c r="A6" t="s">
        <v>122</v>
      </c>
    </row>
    <row r="9" ht="12.75">
      <c r="A9" s="5" t="s">
        <v>131</v>
      </c>
    </row>
    <row r="10" ht="12.75">
      <c r="A10" s="5" t="s">
        <v>125</v>
      </c>
    </row>
    <row r="11" ht="12.75">
      <c r="A11" s="5" t="s">
        <v>126</v>
      </c>
    </row>
    <row r="12" ht="12.75">
      <c r="A12" t="s">
        <v>133</v>
      </c>
    </row>
    <row r="13" ht="12.75">
      <c r="A13" s="5"/>
    </row>
    <row r="14" ht="12.75">
      <c r="A14" s="9" t="s">
        <v>130</v>
      </c>
    </row>
    <row r="15" ht="12.75">
      <c r="A15" s="8" t="s">
        <v>128</v>
      </c>
    </row>
    <row r="16" ht="12.75">
      <c r="A16" s="8" t="s">
        <v>129</v>
      </c>
    </row>
    <row r="17" ht="12.75">
      <c r="A17" s="8"/>
    </row>
    <row r="18" ht="12.75">
      <c r="A18" s="5" t="s">
        <v>124</v>
      </c>
    </row>
  </sheetData>
  <sheetProtection/>
  <hyperlinks>
    <hyperlink ref="A15" r:id="rId1" display="http://www.mice.iit.edu/"/>
    <hyperlink ref="A16" r:id="rId2" display="http://micewww.pp.rl.ac.uk/projects/mic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9.140625" style="3" customWidth="1"/>
  </cols>
  <sheetData>
    <row r="1" ht="12.75">
      <c r="A1" t="s">
        <v>0</v>
      </c>
    </row>
    <row r="3" spans="1:3" ht="12.75">
      <c r="A3" t="s">
        <v>1</v>
      </c>
      <c r="B3" s="3" t="s">
        <v>2</v>
      </c>
      <c r="C3" t="s">
        <v>7</v>
      </c>
    </row>
    <row r="5" spans="1:2" ht="12.75">
      <c r="A5">
        <v>400</v>
      </c>
      <c r="B5" s="3">
        <v>24</v>
      </c>
    </row>
    <row r="6" spans="1:2" ht="12.75">
      <c r="A6">
        <v>500</v>
      </c>
      <c r="B6" s="3">
        <v>5</v>
      </c>
    </row>
    <row r="7" spans="1:2" ht="12.75">
      <c r="A7">
        <v>600</v>
      </c>
      <c r="B7" s="3">
        <v>4.5</v>
      </c>
    </row>
    <row r="8" spans="1:2" ht="12.75">
      <c r="A8">
        <v>700</v>
      </c>
      <c r="B8" s="3">
        <v>23</v>
      </c>
    </row>
    <row r="9" spans="1:2" ht="12.75">
      <c r="A9">
        <v>800</v>
      </c>
      <c r="B9" s="3">
        <v>23</v>
      </c>
    </row>
    <row r="10" spans="1:2" ht="12.75">
      <c r="A10">
        <v>900</v>
      </c>
      <c r="B10" s="3">
        <v>66</v>
      </c>
    </row>
    <row r="11" spans="1:2" ht="12.75">
      <c r="A11">
        <v>1000</v>
      </c>
      <c r="B11" s="3">
        <v>35</v>
      </c>
    </row>
    <row r="12" spans="1:2" ht="12.75">
      <c r="A12">
        <v>1100</v>
      </c>
      <c r="B12" s="3">
        <v>59</v>
      </c>
    </row>
    <row r="13" spans="1:2" ht="12.75">
      <c r="A13">
        <v>1200</v>
      </c>
      <c r="B13" s="3">
        <v>19</v>
      </c>
    </row>
    <row r="14" spans="1:2" ht="12.75">
      <c r="A14">
        <v>1300</v>
      </c>
      <c r="B14" s="3">
        <v>32</v>
      </c>
    </row>
    <row r="15" spans="1:2" ht="12.75">
      <c r="A15">
        <v>1400</v>
      </c>
      <c r="B15" s="3">
        <v>60</v>
      </c>
    </row>
    <row r="16" spans="1:2" ht="12.75">
      <c r="A16">
        <v>1500</v>
      </c>
      <c r="B16" s="3">
        <v>28</v>
      </c>
    </row>
    <row r="17" spans="1:2" ht="12.75">
      <c r="A17">
        <v>1600</v>
      </c>
      <c r="B17" s="3">
        <v>27</v>
      </c>
    </row>
    <row r="18" spans="1:2" ht="12.75">
      <c r="A18">
        <v>1700</v>
      </c>
      <c r="B18" s="3">
        <v>23</v>
      </c>
    </row>
    <row r="19" spans="1:2" ht="12.75">
      <c r="A19">
        <v>1800</v>
      </c>
      <c r="B19" s="3">
        <v>1</v>
      </c>
    </row>
    <row r="20" spans="1:2" ht="12.75">
      <c r="A20">
        <v>1900</v>
      </c>
      <c r="B20" s="3">
        <v>7.5</v>
      </c>
    </row>
    <row r="21" spans="1:2" ht="12.75">
      <c r="A21">
        <v>2000</v>
      </c>
      <c r="B21" s="3">
        <v>24</v>
      </c>
    </row>
    <row r="22" spans="1:3" ht="12.75">
      <c r="A22">
        <v>2100</v>
      </c>
      <c r="B22" s="3">
        <f aca="true" t="shared" si="0" ref="B22:B91">$C22/1024</f>
        <v>6.0283203125</v>
      </c>
      <c r="C22">
        <v>6173</v>
      </c>
    </row>
    <row r="23" spans="1:3" ht="12.75">
      <c r="A23">
        <v>2200</v>
      </c>
      <c r="B23" s="3">
        <f t="shared" si="0"/>
        <v>23.6259765625</v>
      </c>
      <c r="C23">
        <v>24193</v>
      </c>
    </row>
    <row r="24" spans="1:3" ht="12.75">
      <c r="A24">
        <v>2300</v>
      </c>
      <c r="B24" s="3">
        <f t="shared" si="0"/>
        <v>56.4169921875</v>
      </c>
      <c r="C24">
        <v>57771</v>
      </c>
    </row>
    <row r="25" spans="1:3" ht="12.75">
      <c r="A25">
        <v>2400</v>
      </c>
      <c r="B25" s="3">
        <f t="shared" si="0"/>
        <v>94.982421875</v>
      </c>
      <c r="C25">
        <v>97262</v>
      </c>
    </row>
    <row r="26" spans="1:3" ht="12.75">
      <c r="A26">
        <v>2500</v>
      </c>
      <c r="B26" s="3">
        <f t="shared" si="0"/>
        <v>48.615234375</v>
      </c>
      <c r="C26">
        <v>49782</v>
      </c>
    </row>
    <row r="27" spans="1:3" ht="12.75">
      <c r="A27">
        <v>2600</v>
      </c>
      <c r="B27" s="3">
        <f t="shared" si="0"/>
        <v>31.4208984375</v>
      </c>
      <c r="C27">
        <v>32175</v>
      </c>
    </row>
    <row r="28" spans="1:3" ht="12.75">
      <c r="A28">
        <v>2700</v>
      </c>
      <c r="B28" s="3">
        <f t="shared" si="0"/>
        <v>58.4345703125</v>
      </c>
      <c r="C28">
        <v>59837</v>
      </c>
    </row>
    <row r="29" spans="1:3" ht="12.75">
      <c r="A29">
        <v>2800</v>
      </c>
      <c r="B29" s="3">
        <f t="shared" si="0"/>
        <v>25.2197265625</v>
      </c>
      <c r="C29">
        <v>25825</v>
      </c>
    </row>
    <row r="30" spans="1:3" ht="12.75">
      <c r="A30">
        <v>2900</v>
      </c>
      <c r="B30" s="3">
        <f t="shared" si="0"/>
        <v>5.0498046875</v>
      </c>
      <c r="C30">
        <f>+(3933+1131+1+106)</f>
        <v>5171</v>
      </c>
    </row>
    <row r="31" spans="1:3" ht="12.75">
      <c r="A31">
        <v>3000</v>
      </c>
      <c r="B31" s="3">
        <f t="shared" si="0"/>
        <v>9.392578125</v>
      </c>
      <c r="C31">
        <v>9618</v>
      </c>
    </row>
    <row r="32" spans="1:3" ht="12.75">
      <c r="A32">
        <v>3100</v>
      </c>
      <c r="B32" s="3">
        <f t="shared" si="0"/>
        <v>3.4814453125</v>
      </c>
      <c r="C32">
        <v>3565</v>
      </c>
    </row>
    <row r="33" spans="1:3" ht="12.75">
      <c r="A33">
        <v>3200</v>
      </c>
      <c r="B33" s="3">
        <f t="shared" si="0"/>
        <v>117.6103515625</v>
      </c>
      <c r="C33">
        <f>197+10738+109498</f>
        <v>120433</v>
      </c>
    </row>
    <row r="34" spans="1:3" ht="12.75">
      <c r="A34">
        <v>3300</v>
      </c>
      <c r="B34" s="3">
        <f t="shared" si="0"/>
        <v>39.6728515625</v>
      </c>
      <c r="C34">
        <v>40625</v>
      </c>
    </row>
    <row r="35" spans="1:3" ht="12.75">
      <c r="A35">
        <v>3400</v>
      </c>
      <c r="B35" s="3">
        <f t="shared" si="0"/>
        <v>103.2119140625</v>
      </c>
      <c r="C35">
        <v>105689</v>
      </c>
    </row>
    <row r="36" spans="1:3" ht="12.75">
      <c r="A36">
        <v>3500</v>
      </c>
      <c r="B36" s="3">
        <f t="shared" si="0"/>
        <v>49.287109375</v>
      </c>
      <c r="C36">
        <v>50470</v>
      </c>
    </row>
    <row r="37" spans="1:3" ht="12.75">
      <c r="A37">
        <v>3600</v>
      </c>
      <c r="B37" s="3">
        <f t="shared" si="0"/>
        <v>6.9951171875</v>
      </c>
      <c r="C37">
        <v>7163</v>
      </c>
    </row>
    <row r="38" spans="1:3" ht="12.75">
      <c r="A38">
        <v>3700</v>
      </c>
      <c r="B38" s="3">
        <f t="shared" si="0"/>
        <v>1.6640625</v>
      </c>
      <c r="C38">
        <v>1704</v>
      </c>
    </row>
    <row r="39" spans="1:3" ht="12.75">
      <c r="A39">
        <v>3800</v>
      </c>
      <c r="B39" s="3">
        <f t="shared" si="0"/>
        <v>0.98828125</v>
      </c>
      <c r="C39">
        <v>1012</v>
      </c>
    </row>
    <row r="40" spans="1:3" ht="12.75">
      <c r="A40">
        <v>3900</v>
      </c>
      <c r="B40" s="3">
        <f t="shared" si="0"/>
        <v>10.87109375</v>
      </c>
      <c r="C40">
        <v>11132</v>
      </c>
    </row>
    <row r="41" spans="1:3" ht="12.75">
      <c r="A41">
        <v>4000</v>
      </c>
      <c r="B41" s="3">
        <f t="shared" si="0"/>
        <v>44.6328125</v>
      </c>
      <c r="C41">
        <v>45704</v>
      </c>
    </row>
    <row r="42" spans="1:3" ht="12.75">
      <c r="A42">
        <v>4100</v>
      </c>
      <c r="B42" s="3">
        <f t="shared" si="0"/>
        <v>14.0126953125</v>
      </c>
      <c r="C42">
        <v>14349</v>
      </c>
    </row>
    <row r="43" spans="1:3" ht="12.75">
      <c r="A43">
        <v>4200</v>
      </c>
      <c r="B43" s="3">
        <f t="shared" si="0"/>
        <v>1.9443359375</v>
      </c>
      <c r="C43">
        <v>1991</v>
      </c>
    </row>
    <row r="44" spans="1:3" ht="12.75">
      <c r="A44">
        <v>4300</v>
      </c>
      <c r="B44" s="3">
        <f t="shared" si="0"/>
        <v>0.75</v>
      </c>
      <c r="C44">
        <v>768</v>
      </c>
    </row>
    <row r="45" spans="1:3" ht="12.75">
      <c r="A45">
        <v>4400</v>
      </c>
      <c r="B45" s="3">
        <f t="shared" si="0"/>
        <v>2.0126953125</v>
      </c>
      <c r="C45">
        <v>2061</v>
      </c>
    </row>
    <row r="46" spans="1:3" ht="12.75">
      <c r="A46">
        <v>4500</v>
      </c>
      <c r="B46" s="3">
        <f t="shared" si="0"/>
        <v>1.525390625</v>
      </c>
      <c r="C46">
        <v>1562</v>
      </c>
    </row>
    <row r="47" spans="1:3" ht="12.75">
      <c r="A47">
        <v>4600</v>
      </c>
      <c r="B47" s="3">
        <f t="shared" si="0"/>
        <v>0.6044921875</v>
      </c>
      <c r="C47">
        <v>619</v>
      </c>
    </row>
    <row r="48" spans="1:3" ht="12.75">
      <c r="A48">
        <v>4700</v>
      </c>
      <c r="B48" s="3">
        <f t="shared" si="0"/>
        <v>0.3330078125</v>
      </c>
      <c r="C48">
        <v>341</v>
      </c>
    </row>
    <row r="49" spans="1:3" ht="12.75">
      <c r="A49">
        <v>4800</v>
      </c>
      <c r="B49" s="3">
        <f t="shared" si="0"/>
        <v>0.0166015625</v>
      </c>
      <c r="C49">
        <v>17</v>
      </c>
    </row>
    <row r="50" spans="1:3" ht="12.75">
      <c r="A50">
        <v>4900</v>
      </c>
      <c r="B50" s="3">
        <f t="shared" si="0"/>
        <v>20.2490234375</v>
      </c>
      <c r="C50">
        <v>20735</v>
      </c>
    </row>
    <row r="51" spans="1:3" ht="12.75">
      <c r="A51">
        <v>5000</v>
      </c>
      <c r="B51" s="3">
        <f t="shared" si="0"/>
        <v>0.017578125</v>
      </c>
      <c r="C51">
        <v>18</v>
      </c>
    </row>
    <row r="52" spans="1:3" ht="12.75">
      <c r="A52">
        <v>5100</v>
      </c>
      <c r="B52" s="3">
        <f t="shared" si="0"/>
        <v>8.8369140625</v>
      </c>
      <c r="C52">
        <v>9049</v>
      </c>
    </row>
    <row r="53" spans="1:3" ht="12.75">
      <c r="A53">
        <v>5200</v>
      </c>
      <c r="B53" s="3">
        <f t="shared" si="0"/>
        <v>52.37890625</v>
      </c>
      <c r="C53">
        <v>53636</v>
      </c>
    </row>
    <row r="54" spans="1:3" ht="12.75">
      <c r="A54">
        <v>5300</v>
      </c>
      <c r="B54" s="3">
        <f t="shared" si="0"/>
        <v>146.72265625</v>
      </c>
      <c r="C54">
        <v>150244</v>
      </c>
    </row>
    <row r="55" spans="1:3" ht="12.75">
      <c r="A55">
        <v>5400</v>
      </c>
      <c r="B55" s="3">
        <f t="shared" si="0"/>
        <v>283.603515625</v>
      </c>
      <c r="C55">
        <v>290410</v>
      </c>
    </row>
    <row r="56" spans="1:3" ht="12.75">
      <c r="A56">
        <v>5500</v>
      </c>
      <c r="B56" s="3">
        <f t="shared" si="0"/>
        <v>135.4208984375</v>
      </c>
      <c r="C56">
        <v>138671</v>
      </c>
    </row>
    <row r="57" spans="1:3" ht="12.75">
      <c r="A57">
        <v>5600</v>
      </c>
      <c r="B57" s="3">
        <f t="shared" si="0"/>
        <v>1.9140625</v>
      </c>
      <c r="C57">
        <v>1960</v>
      </c>
    </row>
    <row r="58" spans="1:3" ht="12.75">
      <c r="A58">
        <v>5700</v>
      </c>
      <c r="B58" s="3">
        <f t="shared" si="0"/>
        <v>0.7294921875</v>
      </c>
      <c r="C58">
        <v>747</v>
      </c>
    </row>
    <row r="59" spans="1:3" ht="12.75">
      <c r="A59">
        <v>5800</v>
      </c>
      <c r="B59" s="3">
        <f t="shared" si="0"/>
        <v>5.2578125</v>
      </c>
      <c r="C59">
        <f>5360+24</f>
        <v>5384</v>
      </c>
    </row>
    <row r="60" spans="1:3" ht="12.75">
      <c r="A60">
        <v>5900</v>
      </c>
      <c r="B60" s="3">
        <f t="shared" si="0"/>
        <v>0.0732421875</v>
      </c>
      <c r="C60">
        <v>75</v>
      </c>
    </row>
    <row r="61" spans="1:3" ht="12.75">
      <c r="A61">
        <v>6000</v>
      </c>
      <c r="B61" s="3">
        <f t="shared" si="0"/>
        <v>2.162109375</v>
      </c>
      <c r="C61">
        <f>21+213+1980</f>
        <v>2214</v>
      </c>
    </row>
    <row r="62" spans="1:3" ht="12.75">
      <c r="A62">
        <v>6100</v>
      </c>
      <c r="B62" s="3">
        <f t="shared" si="0"/>
        <v>6.501953125</v>
      </c>
      <c r="C62">
        <f>1310+372+4976</f>
        <v>6658</v>
      </c>
    </row>
    <row r="63" spans="1:3" ht="12.75">
      <c r="A63">
        <v>6200</v>
      </c>
      <c r="B63" s="3">
        <f t="shared" si="0"/>
        <v>18.462890625</v>
      </c>
      <c r="C63">
        <v>18906</v>
      </c>
    </row>
    <row r="64" spans="1:3" ht="12.75">
      <c r="A64">
        <v>6300</v>
      </c>
      <c r="B64" s="3">
        <f t="shared" si="0"/>
        <v>4.291015625</v>
      </c>
      <c r="C64">
        <v>4394</v>
      </c>
    </row>
    <row r="65" spans="1:3" ht="12.75">
      <c r="A65">
        <v>6400</v>
      </c>
      <c r="B65" s="3">
        <f t="shared" si="0"/>
        <v>1.47265625</v>
      </c>
      <c r="C65">
        <v>1508</v>
      </c>
    </row>
    <row r="66" spans="1:3" ht="12.75">
      <c r="A66">
        <v>6500</v>
      </c>
      <c r="B66" s="3">
        <f t="shared" si="0"/>
        <v>18.0986328125</v>
      </c>
      <c r="C66">
        <v>18533</v>
      </c>
    </row>
    <row r="67" spans="1:3" ht="12.75">
      <c r="A67">
        <v>6600</v>
      </c>
      <c r="B67" s="3">
        <f t="shared" si="0"/>
        <v>9.494140625</v>
      </c>
      <c r="C67">
        <f>9498+214+10</f>
        <v>9722</v>
      </c>
    </row>
    <row r="68" spans="1:3" ht="12.75">
      <c r="A68">
        <v>6700</v>
      </c>
      <c r="B68" s="3">
        <f t="shared" si="0"/>
        <v>12.3037109375</v>
      </c>
      <c r="C68">
        <f>1533+11066</f>
        <v>12599</v>
      </c>
    </row>
    <row r="69" spans="1:3" ht="12.75">
      <c r="A69">
        <v>6800</v>
      </c>
      <c r="B69" s="3">
        <f t="shared" si="0"/>
        <v>9.875</v>
      </c>
      <c r="C69">
        <v>10112</v>
      </c>
    </row>
    <row r="70" spans="1:3" ht="12.75">
      <c r="A70">
        <v>6900</v>
      </c>
      <c r="B70" s="3">
        <f t="shared" si="0"/>
        <v>7.20703125</v>
      </c>
      <c r="C70">
        <v>7380</v>
      </c>
    </row>
    <row r="71" spans="1:3" ht="12.75">
      <c r="A71">
        <v>7000</v>
      </c>
      <c r="B71" s="3">
        <f t="shared" si="0"/>
        <v>61.19140625</v>
      </c>
      <c r="C71">
        <v>62660</v>
      </c>
    </row>
    <row r="72" spans="1:3" ht="12.75">
      <c r="A72">
        <v>7100</v>
      </c>
      <c r="B72" s="3">
        <f t="shared" si="0"/>
        <v>84.896484375</v>
      </c>
      <c r="C72">
        <f>77650+8141+1143</f>
        <v>86934</v>
      </c>
    </row>
    <row r="73" spans="1:3" ht="12.75">
      <c r="A73">
        <v>7200</v>
      </c>
      <c r="B73" s="3">
        <f t="shared" si="0"/>
        <v>13.771484375</v>
      </c>
      <c r="C73">
        <f>587+13515</f>
        <v>14102</v>
      </c>
    </row>
    <row r="74" spans="1:3" ht="12.75">
      <c r="A74">
        <v>7300</v>
      </c>
      <c r="B74" s="3">
        <f t="shared" si="0"/>
        <v>164.8525390625</v>
      </c>
      <c r="C74">
        <f>77+18216+762+6753+16363+126638</f>
        <v>168809</v>
      </c>
    </row>
    <row r="75" spans="1:3" ht="12.75">
      <c r="A75">
        <v>7400</v>
      </c>
      <c r="B75" s="3">
        <f t="shared" si="0"/>
        <v>156.0703125</v>
      </c>
      <c r="C75">
        <f>122604+20+27954+8785+453</f>
        <v>159816</v>
      </c>
    </row>
    <row r="76" spans="1:3" ht="12.75">
      <c r="A76">
        <v>7500</v>
      </c>
      <c r="B76" s="3">
        <f t="shared" si="0"/>
        <v>78.173828125</v>
      </c>
      <c r="C76">
        <f>267+8834+17869+52433+647</f>
        <v>80050</v>
      </c>
    </row>
    <row r="77" spans="1:3" ht="12.75">
      <c r="A77">
        <v>7600</v>
      </c>
      <c r="B77" s="3">
        <f t="shared" si="0"/>
        <v>171.951171875</v>
      </c>
      <c r="C77">
        <f>1803+19835+54216+90888+9336</f>
        <v>176078</v>
      </c>
    </row>
    <row r="78" spans="1:3" ht="12.75">
      <c r="A78">
        <v>7700</v>
      </c>
      <c r="B78" s="3">
        <f t="shared" si="0"/>
        <v>174.103515625</v>
      </c>
      <c r="C78">
        <f>3892+9004+10630+154756</f>
        <v>178282</v>
      </c>
    </row>
    <row r="79" spans="1:3" ht="12.75">
      <c r="A79">
        <v>7800</v>
      </c>
      <c r="B79" s="3">
        <f t="shared" si="0"/>
        <v>136.0654296875</v>
      </c>
      <c r="C79">
        <f>138414+917</f>
        <v>139331</v>
      </c>
    </row>
    <row r="80" spans="1:3" ht="12.75">
      <c r="A80">
        <v>7900</v>
      </c>
      <c r="B80" s="3">
        <f t="shared" si="0"/>
        <v>31.2373046875</v>
      </c>
      <c r="C80">
        <f>3767+23375+4845</f>
        <v>31987</v>
      </c>
    </row>
    <row r="81" spans="1:3" ht="12.75">
      <c r="A81">
        <v>8000</v>
      </c>
      <c r="B81" s="3">
        <f t="shared" si="0"/>
        <v>315.7216796875</v>
      </c>
      <c r="C81">
        <f>78242+34456+35221+40446+45959+19321+13419+52937+3298</f>
        <v>323299</v>
      </c>
    </row>
    <row r="82" spans="1:3" ht="12.75">
      <c r="A82">
        <v>8100</v>
      </c>
      <c r="B82" s="3">
        <f t="shared" si="0"/>
        <v>387.9404296875</v>
      </c>
      <c r="C82">
        <f>1169+4120+79454+9812+65362+49322+28774+98716+3774+56748</f>
        <v>397251</v>
      </c>
    </row>
    <row r="83" spans="1:3" ht="12.75">
      <c r="A83">
        <v>8200</v>
      </c>
      <c r="B83" s="3">
        <f t="shared" si="0"/>
        <v>23.7509765625</v>
      </c>
      <c r="C83">
        <f>568+840+22521+130+262</f>
        <v>24321</v>
      </c>
    </row>
    <row r="84" spans="1:3" ht="12.75">
      <c r="A84">
        <v>8300</v>
      </c>
      <c r="B84" s="3">
        <f t="shared" si="0"/>
        <v>74.0029296875</v>
      </c>
      <c r="C84">
        <f>6367+14831+15280+22736+16565</f>
        <v>75779</v>
      </c>
    </row>
    <row r="85" spans="1:3" ht="12.75">
      <c r="A85">
        <v>8400</v>
      </c>
      <c r="B85" s="3">
        <f t="shared" si="0"/>
        <v>412.984375</v>
      </c>
      <c r="C85">
        <f>12202+1476+40910+277182+7455+83671</f>
        <v>422896</v>
      </c>
    </row>
    <row r="86" spans="1:3" ht="12.75">
      <c r="A86">
        <v>8500</v>
      </c>
      <c r="B86" s="3">
        <f t="shared" si="0"/>
        <v>167.6083984375</v>
      </c>
      <c r="C86">
        <f>37022+1142+20894+74120+41+3196+35216</f>
        <v>171631</v>
      </c>
    </row>
    <row r="87" spans="1:3" ht="12.75">
      <c r="A87">
        <v>8600</v>
      </c>
      <c r="B87" s="3">
        <f t="shared" si="0"/>
        <v>94.98828125</v>
      </c>
      <c r="C87">
        <f>6711+6782+75+73174+10526</f>
        <v>97268</v>
      </c>
    </row>
    <row r="88" spans="1:3" ht="12.75">
      <c r="A88">
        <v>8700</v>
      </c>
      <c r="B88" s="3">
        <f t="shared" si="0"/>
        <v>625.44921875</v>
      </c>
      <c r="C88">
        <f>23320+40155+113223+293888+56340+98256+15278</f>
        <v>640460</v>
      </c>
    </row>
    <row r="89" spans="1:3" ht="12.75">
      <c r="A89">
        <v>8800</v>
      </c>
      <c r="B89" s="3">
        <f t="shared" si="0"/>
        <v>563.728515625</v>
      </c>
      <c r="C89">
        <f>263623+105330+20208+167770+20327</f>
        <v>577258</v>
      </c>
    </row>
    <row r="90" spans="1:3" ht="12.75">
      <c r="A90">
        <v>8900</v>
      </c>
      <c r="B90" s="3">
        <f t="shared" si="0"/>
        <v>255.158203125</v>
      </c>
      <c r="C90">
        <f>3556+92022+1644+164015+45</f>
        <v>261282</v>
      </c>
    </row>
    <row r="91" spans="1:3" ht="12.75">
      <c r="A91">
        <v>9000</v>
      </c>
      <c r="B91" s="3">
        <f t="shared" si="0"/>
        <v>11.65625</v>
      </c>
      <c r="C91">
        <f>1072+1096+9768</f>
        <v>11936</v>
      </c>
    </row>
    <row r="92" spans="1:3" ht="12.75">
      <c r="A92">
        <v>9100</v>
      </c>
      <c r="B92" s="3">
        <f aca="true" t="shared" si="1" ref="B92:B107">$C92/1024</f>
        <v>254.8173828125</v>
      </c>
      <c r="C92">
        <f>53468+46355+161110</f>
        <v>260933</v>
      </c>
    </row>
    <row r="93" spans="1:3" ht="12.75">
      <c r="A93">
        <v>9200</v>
      </c>
      <c r="B93" s="3">
        <f t="shared" si="1"/>
        <v>579.6650390625</v>
      </c>
      <c r="C93">
        <f>76456+397605+35847+70358+1385+105+11821</f>
        <v>593577</v>
      </c>
    </row>
    <row r="94" spans="1:3" ht="12.75">
      <c r="A94">
        <v>9300</v>
      </c>
      <c r="B94" s="3">
        <f t="shared" si="1"/>
        <v>399.88671875</v>
      </c>
      <c r="C94">
        <f>6089+371+8046+267473+127505</f>
        <v>409484</v>
      </c>
    </row>
    <row r="95" spans="1:3" ht="12.75">
      <c r="A95">
        <v>9400</v>
      </c>
      <c r="B95" s="3">
        <f t="shared" si="1"/>
        <v>55.4326171875</v>
      </c>
      <c r="C95">
        <f>53726+3037</f>
        <v>56763</v>
      </c>
    </row>
    <row r="96" spans="1:3" ht="12.75">
      <c r="A96">
        <v>9500</v>
      </c>
      <c r="B96" s="3">
        <f t="shared" si="1"/>
        <v>0</v>
      </c>
      <c r="C96">
        <f>0+0</f>
        <v>0</v>
      </c>
    </row>
    <row r="97" spans="1:3" ht="12.75">
      <c r="A97">
        <v>9600</v>
      </c>
      <c r="B97" s="3">
        <f t="shared" si="1"/>
        <v>703.0556640625</v>
      </c>
      <c r="C97">
        <f>6735+122095+34449+556650</f>
        <v>719929</v>
      </c>
    </row>
    <row r="98" spans="1:3" ht="12.75">
      <c r="A98">
        <v>9700</v>
      </c>
      <c r="B98" s="3">
        <f t="shared" si="1"/>
        <v>929.5751953125</v>
      </c>
      <c r="C98">
        <f>23258+39651+296577+413+281474+82857+302+227353</f>
        <v>951885</v>
      </c>
    </row>
    <row r="99" spans="1:3" ht="12.75">
      <c r="A99">
        <v>9800</v>
      </c>
      <c r="B99" s="3">
        <f t="shared" si="1"/>
        <v>1209.4931640625</v>
      </c>
      <c r="C99">
        <f>70789+218846+238609+4883+113858+132026+90048+112453+257009</f>
        <v>1238521</v>
      </c>
    </row>
    <row r="100" spans="1:3" ht="12.75">
      <c r="A100">
        <v>9900</v>
      </c>
      <c r="B100" s="3">
        <f t="shared" si="1"/>
        <v>895.8076171875</v>
      </c>
      <c r="C100">
        <f>80843+100355+1320+1856+168129+160028+273005+1320+1508+116362+2248+10312+21</f>
        <v>917307</v>
      </c>
    </row>
    <row r="101" spans="1:3" ht="12.75">
      <c r="A101">
        <v>10000</v>
      </c>
      <c r="B101" s="3">
        <f t="shared" si="1"/>
        <v>630.1552734375</v>
      </c>
      <c r="C101">
        <f>27+31188+451+50515+176+301254+3628+134800+100825+21833+560+22</f>
        <v>645279</v>
      </c>
    </row>
    <row r="102" spans="1:3" ht="12.75">
      <c r="A102">
        <v>10100</v>
      </c>
      <c r="B102" s="3">
        <f t="shared" si="1"/>
        <v>821.796875</v>
      </c>
      <c r="C102">
        <f>20+2990+2367+153315+104152+30125+183783+353657+2505+8606</f>
        <v>841520</v>
      </c>
    </row>
    <row r="103" spans="1:3" ht="12.75">
      <c r="A103">
        <v>10200</v>
      </c>
      <c r="B103" s="3">
        <f t="shared" si="1"/>
        <v>1049.4267578125</v>
      </c>
      <c r="C103">
        <f>150846+46448+145838+218948+34+189454+146480+176550+15</f>
        <v>1074613</v>
      </c>
    </row>
    <row r="104" spans="1:3" ht="12.75">
      <c r="A104">
        <v>10300</v>
      </c>
      <c r="B104" s="3">
        <f t="shared" si="1"/>
        <v>700.640625</v>
      </c>
      <c r="C104">
        <f>6+17362+90693+3364+179757+3552+208915+213783+24</f>
        <v>717456</v>
      </c>
    </row>
    <row r="105" spans="1:3" ht="12.75">
      <c r="A105">
        <v>10400</v>
      </c>
      <c r="B105" s="3">
        <f t="shared" si="1"/>
        <v>910.8994140625</v>
      </c>
      <c r="C105">
        <f>24+1460+197148+1561+13316+131320+245412+25660+23190+156+164610+64+128840</f>
        <v>932761</v>
      </c>
    </row>
    <row r="106" spans="1:3" ht="12.75">
      <c r="A106">
        <v>10500</v>
      </c>
      <c r="B106" s="3">
        <f t="shared" si="1"/>
        <v>1019.2685546875</v>
      </c>
      <c r="C106">
        <f>31326+95903+10836+122864+82+378472+156102+26+207236+40884</f>
        <v>1043731</v>
      </c>
    </row>
    <row r="107" spans="1:3" ht="12.75">
      <c r="A107">
        <v>10600</v>
      </c>
      <c r="B107" s="3">
        <f t="shared" si="1"/>
        <v>34.63671875</v>
      </c>
      <c r="C107">
        <f>35439+29</f>
        <v>35468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3" max="3" width="9.140625" style="3" customWidth="1"/>
    <col min="5" max="5" width="9.140625" style="2" customWidth="1"/>
  </cols>
  <sheetData>
    <row r="1" ht="12.75">
      <c r="A1" t="s">
        <v>0</v>
      </c>
    </row>
    <row r="3" spans="1:5" ht="12.75">
      <c r="A3" t="s">
        <v>3</v>
      </c>
      <c r="B3" t="s">
        <v>4</v>
      </c>
      <c r="C3" s="3" t="s">
        <v>5</v>
      </c>
      <c r="E3" s="2" t="s">
        <v>6</v>
      </c>
    </row>
    <row r="4" spans="1:5" ht="12.75">
      <c r="A4" s="1">
        <v>39448</v>
      </c>
      <c r="E4" s="2">
        <v>30</v>
      </c>
    </row>
    <row r="5" spans="1:5" ht="12.75">
      <c r="A5" s="1">
        <v>39635</v>
      </c>
      <c r="B5">
        <v>0</v>
      </c>
      <c r="C5" s="3">
        <f>+$B5/(1024*1024)</f>
        <v>0</v>
      </c>
      <c r="E5" s="2">
        <v>30</v>
      </c>
    </row>
    <row r="6" spans="1:5" ht="12.75">
      <c r="A6" s="1">
        <v>39660</v>
      </c>
      <c r="B6">
        <f>+(24+5+2)*1024</f>
        <v>31744</v>
      </c>
      <c r="C6" s="3">
        <f>+$B6/(1024*1024)</f>
        <v>0.0302734375</v>
      </c>
      <c r="E6" s="2">
        <v>30</v>
      </c>
    </row>
    <row r="7" spans="1:5" ht="12.75">
      <c r="A7" s="1">
        <v>39693</v>
      </c>
      <c r="B7">
        <f>+$B6</f>
        <v>31744</v>
      </c>
      <c r="C7" s="3">
        <f>+$B7/(1024*1024)</f>
        <v>0.0302734375</v>
      </c>
      <c r="E7" s="2">
        <v>30</v>
      </c>
    </row>
    <row r="8" spans="1:5" ht="12.75">
      <c r="A8" s="1">
        <v>39712</v>
      </c>
      <c r="B8">
        <f>+$B7+(2.6+1024)</f>
        <v>32770.6</v>
      </c>
      <c r="C8" s="3">
        <f aca="true" t="shared" si="0" ref="C8:C80">+$B8/(1024*1024)</f>
        <v>0.031252479553222655</v>
      </c>
      <c r="E8" s="2">
        <v>30</v>
      </c>
    </row>
    <row r="9" spans="1:5" ht="12.75">
      <c r="A9" s="1">
        <v>39729</v>
      </c>
      <c r="B9">
        <f>+$B8</f>
        <v>32770.6</v>
      </c>
      <c r="C9" s="3">
        <f t="shared" si="0"/>
        <v>0.031252479553222655</v>
      </c>
      <c r="E9" s="2">
        <v>30</v>
      </c>
    </row>
    <row r="10" spans="1:5" ht="12.75">
      <c r="A10" s="1">
        <v>39743</v>
      </c>
      <c r="B10">
        <f>+$B9+19+(9.2*1024)</f>
        <v>42210.399999999994</v>
      </c>
      <c r="C10" s="3">
        <f t="shared" si="0"/>
        <v>0.04025497436523437</v>
      </c>
      <c r="E10" s="2">
        <v>30</v>
      </c>
    </row>
    <row r="11" spans="1:5" ht="12.75">
      <c r="A11" s="1">
        <v>39756</v>
      </c>
      <c r="B11">
        <f>+$B10</f>
        <v>42210.399999999994</v>
      </c>
      <c r="C11" s="3">
        <f t="shared" si="0"/>
        <v>0.04025497436523437</v>
      </c>
      <c r="E11" s="2">
        <v>30</v>
      </c>
    </row>
    <row r="12" spans="1:5" ht="12.75">
      <c r="A12" s="1">
        <v>39803</v>
      </c>
      <c r="B12">
        <f>+$B11+(14+23)*1024</f>
        <v>80098.4</v>
      </c>
      <c r="C12" s="3">
        <f t="shared" si="0"/>
        <v>0.07638778686523437</v>
      </c>
      <c r="E12" s="2">
        <v>30</v>
      </c>
    </row>
    <row r="13" spans="1:5" ht="12.75">
      <c r="A13" s="1">
        <v>40059</v>
      </c>
      <c r="B13">
        <f>+$B12</f>
        <v>80098.4</v>
      </c>
      <c r="C13" s="3">
        <f t="shared" si="0"/>
        <v>0.07638778686523437</v>
      </c>
      <c r="E13" s="2">
        <v>30</v>
      </c>
    </row>
    <row r="14" spans="1:5" ht="12.75">
      <c r="A14" s="1">
        <v>40090</v>
      </c>
      <c r="B14">
        <f>+$B13+3.3+(66+35+59+7)*1024</f>
        <v>251109.7</v>
      </c>
      <c r="C14" s="3">
        <f t="shared" si="0"/>
        <v>0.23947687149047853</v>
      </c>
      <c r="E14" s="2">
        <v>30</v>
      </c>
    </row>
    <row r="15" spans="1:5" ht="12.75">
      <c r="A15" s="1">
        <v>40122</v>
      </c>
      <c r="B15">
        <f>+$B14</f>
        <v>251109.7</v>
      </c>
      <c r="C15" s="3">
        <f t="shared" si="0"/>
        <v>0.23947687149047853</v>
      </c>
      <c r="E15" s="2">
        <v>30</v>
      </c>
    </row>
    <row r="16" spans="1:5" ht="12.75">
      <c r="A16" s="1">
        <v>40169</v>
      </c>
      <c r="B16">
        <f>+$B15+(12+32+22)*1024</f>
        <v>318693.7</v>
      </c>
      <c r="C16" s="3">
        <f t="shared" si="0"/>
        <v>0.3039299964904785</v>
      </c>
      <c r="E16" s="2">
        <v>30</v>
      </c>
    </row>
    <row r="17" spans="1:5" ht="12.75">
      <c r="A17" s="1">
        <v>40208</v>
      </c>
      <c r="B17">
        <f>+$B16</f>
        <v>318693.7</v>
      </c>
      <c r="C17" s="3">
        <f t="shared" si="0"/>
        <v>0.3039299964904785</v>
      </c>
      <c r="E17" s="2">
        <v>30</v>
      </c>
    </row>
    <row r="18" spans="1:5" ht="12.75">
      <c r="A18" s="1">
        <v>40265</v>
      </c>
      <c r="B18">
        <f>+$B17+(38+12)*1024</f>
        <v>369893.7</v>
      </c>
      <c r="C18" s="3">
        <f t="shared" si="0"/>
        <v>0.3527581214904785</v>
      </c>
      <c r="E18" s="2">
        <v>30</v>
      </c>
    </row>
    <row r="19" spans="1:5" ht="12.75">
      <c r="A19" s="1">
        <v>40297</v>
      </c>
      <c r="B19">
        <f>+$B18</f>
        <v>369893.7</v>
      </c>
      <c r="C19" s="3">
        <f t="shared" si="0"/>
        <v>0.3527581214904785</v>
      </c>
      <c r="E19" s="2">
        <v>30</v>
      </c>
    </row>
    <row r="20" spans="1:5" ht="12.75">
      <c r="A20" s="1">
        <v>40330</v>
      </c>
      <c r="B20">
        <f>+$B19+(15371+26728+23208+865)</f>
        <v>436065.7</v>
      </c>
      <c r="C20" s="3">
        <f t="shared" si="0"/>
        <v>0.4158646583557129</v>
      </c>
      <c r="E20" s="2">
        <v>30</v>
      </c>
    </row>
    <row r="21" spans="1:5" ht="12.75">
      <c r="A21" s="1">
        <v>40333</v>
      </c>
      <c r="B21">
        <f>+$B20</f>
        <v>436065.7</v>
      </c>
      <c r="C21" s="3">
        <f t="shared" si="0"/>
        <v>0.4158646583557129</v>
      </c>
      <c r="E21" s="2">
        <v>30</v>
      </c>
    </row>
    <row r="22" spans="1:5" ht="12.75">
      <c r="A22" s="1">
        <v>40340</v>
      </c>
      <c r="B22">
        <f>+$B21+(41)</f>
        <v>436106.7</v>
      </c>
      <c r="C22" s="3">
        <f t="shared" si="0"/>
        <v>0.41590375900268556</v>
      </c>
      <c r="E22" s="2">
        <v>30</v>
      </c>
    </row>
    <row r="23" spans="1:5" ht="12.75">
      <c r="A23" s="1">
        <v>40344</v>
      </c>
      <c r="B23">
        <f>+$B22</f>
        <v>436106.7</v>
      </c>
      <c r="C23" s="3">
        <f t="shared" si="0"/>
        <v>0.41590375900268556</v>
      </c>
      <c r="E23" s="2">
        <v>30</v>
      </c>
    </row>
    <row r="24" spans="1:5" ht="12.75">
      <c r="A24" s="1">
        <v>40404</v>
      </c>
      <c r="B24">
        <f>+$B23+(2146+5479+23801+6713+24193+57771+97262+49782+32175+59837+25825)</f>
        <v>821090.7</v>
      </c>
      <c r="C24" s="3">
        <f t="shared" si="0"/>
        <v>0.7830531120300293</v>
      </c>
      <c r="E24" s="2">
        <v>30</v>
      </c>
    </row>
    <row r="25" spans="1:5" ht="12.75">
      <c r="A25" s="1">
        <v>40448</v>
      </c>
      <c r="B25">
        <f>+$B24</f>
        <v>821090.7</v>
      </c>
      <c r="C25" s="3">
        <f t="shared" si="0"/>
        <v>0.7830531120300293</v>
      </c>
      <c r="E25" s="2">
        <v>30</v>
      </c>
    </row>
    <row r="26" spans="1:5" ht="12.75">
      <c r="A26" s="1">
        <v>40450</v>
      </c>
      <c r="B26">
        <f>+$B25+(3933)</f>
        <v>825023.7</v>
      </c>
      <c r="C26" s="3">
        <f t="shared" si="0"/>
        <v>0.786803913116455</v>
      </c>
      <c r="E26" s="2">
        <v>30</v>
      </c>
    </row>
    <row r="27" spans="1:5" ht="12.75">
      <c r="A27" s="1">
        <v>40626</v>
      </c>
      <c r="B27">
        <f>+$B26</f>
        <v>825023.7</v>
      </c>
      <c r="C27" s="3">
        <f t="shared" si="0"/>
        <v>0.786803913116455</v>
      </c>
      <c r="E27" s="2">
        <v>30</v>
      </c>
    </row>
    <row r="28" spans="1:5" ht="12.75">
      <c r="A28" s="1">
        <v>40627</v>
      </c>
      <c r="B28">
        <f>+$B27+(1131)</f>
        <v>826154.7</v>
      </c>
      <c r="C28" s="3">
        <f t="shared" si="0"/>
        <v>0.7878825187683105</v>
      </c>
      <c r="E28" s="2">
        <v>30</v>
      </c>
    </row>
    <row r="29" spans="1:5" ht="12.75">
      <c r="A29" s="1">
        <v>40659</v>
      </c>
      <c r="B29">
        <f>+$B28</f>
        <v>826154.7</v>
      </c>
      <c r="C29" s="3">
        <f t="shared" si="0"/>
        <v>0.7878825187683105</v>
      </c>
      <c r="E29" s="2">
        <v>30</v>
      </c>
    </row>
    <row r="30" spans="1:5" ht="12.75">
      <c r="A30" s="1">
        <v>40660</v>
      </c>
      <c r="B30">
        <f>+$B29+(1)</f>
        <v>826155.7</v>
      </c>
      <c r="C30" s="3">
        <f t="shared" si="0"/>
        <v>0.7878834724426269</v>
      </c>
      <c r="E30" s="2">
        <v>30</v>
      </c>
    </row>
    <row r="31" spans="1:5" ht="12.75">
      <c r="A31" s="1">
        <v>40712</v>
      </c>
      <c r="B31">
        <f>+$B30</f>
        <v>826155.7</v>
      </c>
      <c r="C31" s="3">
        <f t="shared" si="0"/>
        <v>0.7878834724426269</v>
      </c>
      <c r="E31" s="2">
        <v>30</v>
      </c>
    </row>
    <row r="32" spans="1:5" ht="12.75">
      <c r="A32" s="1">
        <v>40737</v>
      </c>
      <c r="B32">
        <f>+$B31+(106+9618+1629)</f>
        <v>837508.7</v>
      </c>
      <c r="C32" s="3">
        <f t="shared" si="0"/>
        <v>0.7987105369567871</v>
      </c>
      <c r="E32" s="2">
        <v>30</v>
      </c>
    </row>
    <row r="33" spans="1:5" ht="12.75">
      <c r="A33" s="1">
        <v>40745</v>
      </c>
      <c r="B33">
        <f>+$B32</f>
        <v>837508.7</v>
      </c>
      <c r="C33" s="3">
        <f t="shared" si="0"/>
        <v>0.7987105369567871</v>
      </c>
      <c r="E33" s="2">
        <v>30</v>
      </c>
    </row>
    <row r="34" spans="1:5" ht="12.75">
      <c r="A34" s="1">
        <v>40767</v>
      </c>
      <c r="B34">
        <f>+$B33+(48)</f>
        <v>837556.7</v>
      </c>
      <c r="C34" s="3">
        <f t="shared" si="0"/>
        <v>0.7987563133239746</v>
      </c>
      <c r="E34" s="2">
        <v>30</v>
      </c>
    </row>
    <row r="35" spans="1:5" ht="12.75">
      <c r="A35" s="1">
        <v>40813</v>
      </c>
      <c r="B35">
        <f>+$B34</f>
        <v>837556.7</v>
      </c>
      <c r="C35" s="3">
        <f t="shared" si="0"/>
        <v>0.7987563133239746</v>
      </c>
      <c r="E35" s="2">
        <v>30</v>
      </c>
    </row>
    <row r="36" spans="1:5" ht="12.75">
      <c r="A36" s="1">
        <v>40815</v>
      </c>
      <c r="B36">
        <f>+$B35+(1890+197)</f>
        <v>839643.7</v>
      </c>
      <c r="C36" s="3">
        <f t="shared" si="0"/>
        <v>0.8007466316223144</v>
      </c>
      <c r="E36" s="2">
        <v>30</v>
      </c>
    </row>
    <row r="37" spans="1:5" ht="12.75">
      <c r="A37" s="1">
        <v>40868</v>
      </c>
      <c r="B37">
        <f>+$B36</f>
        <v>839643.7</v>
      </c>
      <c r="C37" s="3">
        <f t="shared" si="0"/>
        <v>0.8007466316223144</v>
      </c>
      <c r="E37" s="2">
        <v>30</v>
      </c>
    </row>
    <row r="38" spans="1:5" ht="12.75">
      <c r="A38" s="1">
        <v>40876</v>
      </c>
      <c r="B38">
        <f>+$B37+(10738)</f>
        <v>850381.7</v>
      </c>
      <c r="C38" s="3">
        <f>+$B38/(1024*1024)</f>
        <v>0.8109871864318847</v>
      </c>
      <c r="E38" s="2">
        <v>30</v>
      </c>
    </row>
    <row r="39" spans="1:5" ht="12.75">
      <c r="A39" s="1">
        <v>40878</v>
      </c>
      <c r="B39">
        <f>+$B38</f>
        <v>850381.7</v>
      </c>
      <c r="C39" s="3">
        <f t="shared" si="0"/>
        <v>0.8109871864318847</v>
      </c>
      <c r="E39" s="2">
        <v>30</v>
      </c>
    </row>
    <row r="40" spans="1:5" ht="12.75">
      <c r="A40" s="1">
        <v>40893</v>
      </c>
      <c r="B40">
        <f>+$B39+(109498+105689+50300)</f>
        <v>1115868.7</v>
      </c>
      <c r="C40" s="3">
        <f>+$B40/(1024*1024)</f>
        <v>1.0641753196716308</v>
      </c>
      <c r="E40" s="2">
        <v>30</v>
      </c>
    </row>
    <row r="41" spans="1:5" ht="12.75">
      <c r="A41" s="1">
        <v>40990</v>
      </c>
      <c r="B41">
        <f>+$B40</f>
        <v>1115868.7</v>
      </c>
      <c r="C41" s="3">
        <f t="shared" si="0"/>
        <v>1.0641753196716308</v>
      </c>
      <c r="E41" s="2">
        <v>30</v>
      </c>
    </row>
    <row r="42" spans="1:5" ht="12.75">
      <c r="A42" s="1">
        <v>40994</v>
      </c>
      <c r="B42">
        <f>+$B41+(171+7163)</f>
        <v>1123202.7</v>
      </c>
      <c r="C42" s="3">
        <f t="shared" si="0"/>
        <v>1.0711695671081543</v>
      </c>
      <c r="E42" s="2">
        <v>30</v>
      </c>
    </row>
    <row r="43" spans="1:5" ht="12.75">
      <c r="A43" s="1">
        <v>41040</v>
      </c>
      <c r="B43">
        <f>+$B42+(1704+1012+7)</f>
        <v>1125925.7</v>
      </c>
      <c r="C43" s="3">
        <f t="shared" si="0"/>
        <v>1.0737664222717285</v>
      </c>
      <c r="E43" s="2">
        <v>30</v>
      </c>
    </row>
    <row r="44" spans="1:5" ht="12.75">
      <c r="A44" s="1">
        <v>41052</v>
      </c>
      <c r="B44">
        <f>+$B43+(11125+45704+14349)</f>
        <v>1197103.7</v>
      </c>
      <c r="C44" s="3">
        <f t="shared" si="0"/>
        <v>1.1416470527648925</v>
      </c>
      <c r="E44" s="2">
        <v>30</v>
      </c>
    </row>
    <row r="45" spans="1:5" ht="12.75">
      <c r="A45" s="1">
        <v>41194</v>
      </c>
      <c r="B45">
        <f>+$B44</f>
        <v>1197103.7</v>
      </c>
      <c r="C45" s="3">
        <f t="shared" si="0"/>
        <v>1.1416470527648925</v>
      </c>
      <c r="E45" s="2">
        <v>30</v>
      </c>
    </row>
    <row r="46" spans="1:5" ht="12.75">
      <c r="A46" s="1">
        <v>41197</v>
      </c>
      <c r="B46">
        <f>+$B45+(1991+768)</f>
        <v>1199862.7</v>
      </c>
      <c r="C46" s="3">
        <f t="shared" si="0"/>
        <v>1.1442782402038574</v>
      </c>
      <c r="E46" s="2">
        <v>30</v>
      </c>
    </row>
    <row r="47" spans="1:5" ht="12.75">
      <c r="A47" s="1">
        <v>41201</v>
      </c>
      <c r="B47">
        <f>+$B46+(47)</f>
        <v>1199909.7</v>
      </c>
      <c r="C47" s="3">
        <f t="shared" si="0"/>
        <v>1.1443230628967285</v>
      </c>
      <c r="E47" s="2">
        <v>30</v>
      </c>
    </row>
    <row r="48" spans="1:5" ht="12.75">
      <c r="A48" s="1">
        <v>41203</v>
      </c>
      <c r="B48">
        <f>+$B47+(1516+609)</f>
        <v>1202034.7</v>
      </c>
      <c r="C48" s="3">
        <f t="shared" si="0"/>
        <v>1.1463496208190918</v>
      </c>
      <c r="E48" s="2">
        <v>30</v>
      </c>
    </row>
    <row r="49" spans="1:5" ht="12.75">
      <c r="A49" s="1">
        <v>41257</v>
      </c>
      <c r="B49">
        <f>+$B48+(10)</f>
        <v>1202044.7</v>
      </c>
      <c r="C49" s="3">
        <f t="shared" si="0"/>
        <v>1.1463591575622558</v>
      </c>
      <c r="E49" s="2">
        <v>30</v>
      </c>
    </row>
    <row r="50" spans="1:5" ht="12.75">
      <c r="A50" s="1">
        <v>41258</v>
      </c>
      <c r="B50">
        <f>+$B49+(341)</f>
        <v>1202385.7</v>
      </c>
      <c r="C50" s="3">
        <f t="shared" si="0"/>
        <v>1.1466843605041503</v>
      </c>
      <c r="E50" s="2">
        <v>30</v>
      </c>
    </row>
    <row r="51" spans="1:5" ht="12.75">
      <c r="A51" s="1">
        <v>41317</v>
      </c>
      <c r="B51">
        <f>+$B50</f>
        <v>1202385.7</v>
      </c>
      <c r="C51" s="3">
        <f t="shared" si="0"/>
        <v>1.1466843605041503</v>
      </c>
      <c r="E51" s="2">
        <v>30</v>
      </c>
    </row>
    <row r="52" spans="1:5" ht="12.75">
      <c r="A52" s="1">
        <v>41319</v>
      </c>
      <c r="B52">
        <f>+$B51+(17+15032)</f>
        <v>1217434.7</v>
      </c>
      <c r="C52" s="3">
        <f t="shared" si="0"/>
        <v>1.161036205291748</v>
      </c>
      <c r="E52" s="2">
        <v>30</v>
      </c>
    </row>
    <row r="53" spans="1:5" ht="12.75">
      <c r="A53" s="1">
        <v>41465</v>
      </c>
      <c r="B53">
        <f>+$B52</f>
        <v>1217434.7</v>
      </c>
      <c r="C53" s="3">
        <f t="shared" si="0"/>
        <v>1.161036205291748</v>
      </c>
      <c r="E53" s="2">
        <v>30</v>
      </c>
    </row>
    <row r="54" spans="1:5" ht="12.75">
      <c r="A54" s="1">
        <v>41472</v>
      </c>
      <c r="B54">
        <f>+$B53+(757)</f>
        <v>1218191.7</v>
      </c>
      <c r="C54" s="3">
        <f t="shared" si="0"/>
        <v>1.1617581367492675</v>
      </c>
      <c r="E54" s="2">
        <v>30</v>
      </c>
    </row>
    <row r="55" spans="1:5" ht="12.75">
      <c r="A55" s="1">
        <v>41477</v>
      </c>
      <c r="B55">
        <f>+$B54</f>
        <v>1218191.7</v>
      </c>
      <c r="C55" s="3">
        <f t="shared" si="0"/>
        <v>1.1617581367492675</v>
      </c>
      <c r="E55" s="2">
        <v>30</v>
      </c>
    </row>
    <row r="56" spans="1:5" ht="12.75">
      <c r="A56" s="1">
        <v>41478</v>
      </c>
      <c r="B56">
        <f>+$B55+(26)</f>
        <v>1218217.7</v>
      </c>
      <c r="C56" s="3">
        <f t="shared" si="0"/>
        <v>1.161782932281494</v>
      </c>
      <c r="E56" s="2">
        <v>30</v>
      </c>
    </row>
    <row r="57" spans="1:5" ht="12.75">
      <c r="A57" s="1">
        <v>41488</v>
      </c>
      <c r="B57">
        <f>+$B56</f>
        <v>1218217.7</v>
      </c>
      <c r="C57" s="3">
        <f t="shared" si="0"/>
        <v>1.161782932281494</v>
      </c>
      <c r="E57" s="2">
        <v>30</v>
      </c>
    </row>
    <row r="58" spans="1:5" ht="12.75">
      <c r="A58" s="1">
        <v>41491</v>
      </c>
      <c r="B58">
        <f>+$B57+(4922)</f>
        <v>1223139.7</v>
      </c>
      <c r="C58" s="3">
        <f t="shared" si="0"/>
        <v>1.1664769172668457</v>
      </c>
      <c r="E58" s="2">
        <v>30</v>
      </c>
    </row>
    <row r="59" spans="1:5" ht="12.75">
      <c r="A59" s="1">
        <v>41550</v>
      </c>
      <c r="B59">
        <f>+$B58</f>
        <v>1223139.7</v>
      </c>
      <c r="C59" s="3">
        <f t="shared" si="0"/>
        <v>1.1664769172668457</v>
      </c>
      <c r="E59" s="2">
        <v>30</v>
      </c>
    </row>
    <row r="60" spans="1:5" ht="12.75">
      <c r="A60" s="1">
        <v>41554</v>
      </c>
      <c r="B60">
        <f>+$B59+(18+9049+53636+81299)</f>
        <v>1367141.7</v>
      </c>
      <c r="C60" s="3">
        <f t="shared" si="0"/>
        <v>1.3038079261779785</v>
      </c>
      <c r="E60" s="2">
        <v>30</v>
      </c>
    </row>
    <row r="61" spans="1:5" ht="12.75">
      <c r="A61" s="1">
        <v>41557</v>
      </c>
      <c r="B61">
        <f>+$B60</f>
        <v>1367141.7</v>
      </c>
      <c r="C61" s="3">
        <f t="shared" si="0"/>
        <v>1.3038079261779785</v>
      </c>
      <c r="E61" s="2">
        <v>30</v>
      </c>
    </row>
    <row r="62" spans="1:5" ht="12.75">
      <c r="A62" s="1">
        <v>41561</v>
      </c>
      <c r="B62">
        <f>+$B61+(68945+185669)</f>
        <v>1621755.7</v>
      </c>
      <c r="C62" s="3">
        <f t="shared" si="0"/>
        <v>1.5466267585754394</v>
      </c>
      <c r="E62" s="2">
        <v>30</v>
      </c>
    </row>
    <row r="63" spans="1:5" ht="12.75">
      <c r="A63" s="1">
        <v>41564</v>
      </c>
      <c r="B63">
        <f>+$B62</f>
        <v>1621755.7</v>
      </c>
      <c r="C63" s="3">
        <f t="shared" si="0"/>
        <v>1.5466267585754394</v>
      </c>
      <c r="E63" s="2">
        <v>30</v>
      </c>
    </row>
    <row r="64" spans="1:5" ht="12.75">
      <c r="A64" s="1">
        <v>41568</v>
      </c>
      <c r="B64">
        <f>+$B63+(104742+5542)</f>
        <v>1732039.7</v>
      </c>
      <c r="C64" s="3">
        <f t="shared" si="0"/>
        <v>1.6518017768859863</v>
      </c>
      <c r="E64" s="2">
        <v>30</v>
      </c>
    </row>
    <row r="65" spans="1:5" ht="12.75">
      <c r="A65" s="1">
        <v>41572</v>
      </c>
      <c r="B65">
        <f>+$B64</f>
        <v>1732039.7</v>
      </c>
      <c r="C65" s="3">
        <f t="shared" si="0"/>
        <v>1.6518017768859863</v>
      </c>
      <c r="E65" s="2">
        <v>30</v>
      </c>
    </row>
    <row r="66" spans="1:5" ht="12.75">
      <c r="A66" s="1">
        <v>41574</v>
      </c>
      <c r="B66">
        <f>+$B65+(813+1960)</f>
        <v>1734812.7</v>
      </c>
      <c r="C66" s="3">
        <f t="shared" si="0"/>
        <v>1.6544463157653808</v>
      </c>
      <c r="E66" s="2">
        <v>30</v>
      </c>
    </row>
    <row r="67" spans="1:5" ht="12.75">
      <c r="A67" s="1">
        <v>41725</v>
      </c>
      <c r="B67">
        <f>+$B66</f>
        <v>1734812.7</v>
      </c>
      <c r="C67" s="3">
        <f t="shared" si="0"/>
        <v>1.6544463157653808</v>
      </c>
      <c r="E67" s="2">
        <v>30</v>
      </c>
    </row>
    <row r="68" spans="1:5" ht="12.75">
      <c r="A68" s="1">
        <v>41734</v>
      </c>
      <c r="B68">
        <f>+$B67+(273)</f>
        <v>1735085.7</v>
      </c>
      <c r="C68" s="3">
        <f t="shared" si="0"/>
        <v>1.6547066688537597</v>
      </c>
      <c r="E68" s="2">
        <v>30</v>
      </c>
    </row>
    <row r="69" spans="1:5" ht="12.75">
      <c r="A69" s="1">
        <v>41735</v>
      </c>
      <c r="B69">
        <f>+$B68</f>
        <v>1735085.7</v>
      </c>
      <c r="C69" s="3">
        <f t="shared" si="0"/>
        <v>1.6547066688537597</v>
      </c>
      <c r="E69" s="2">
        <v>30</v>
      </c>
    </row>
    <row r="70" spans="1:5" ht="12.75">
      <c r="A70" s="1">
        <v>41737</v>
      </c>
      <c r="B70">
        <f>+$B69+(109)</f>
        <v>1735194.7</v>
      </c>
      <c r="C70" s="3">
        <f t="shared" si="0"/>
        <v>1.654810619354248</v>
      </c>
      <c r="E70" s="2">
        <v>30</v>
      </c>
    </row>
    <row r="71" spans="1:5" ht="12.75">
      <c r="A71" s="1">
        <v>41818</v>
      </c>
      <c r="B71">
        <f>+$B70</f>
        <v>1735194.7</v>
      </c>
      <c r="C71" s="3">
        <f t="shared" si="0"/>
        <v>1.654810619354248</v>
      </c>
      <c r="E71" s="2">
        <v>30</v>
      </c>
    </row>
    <row r="72" spans="1:5" ht="12.75">
      <c r="A72" s="1">
        <v>41820</v>
      </c>
      <c r="B72">
        <f>+$B71+(366+5360)</f>
        <v>1740920.7</v>
      </c>
      <c r="C72" s="3">
        <f t="shared" si="0"/>
        <v>1.6602713584899902</v>
      </c>
      <c r="E72" s="2">
        <v>30</v>
      </c>
    </row>
    <row r="73" spans="1:7" ht="12.75">
      <c r="A73" s="1">
        <v>42023</v>
      </c>
      <c r="B73">
        <f>+$B72</f>
        <v>1740920.7</v>
      </c>
      <c r="C73" s="3">
        <f>+$B73/(1024*1024)</f>
        <v>1.6602713584899902</v>
      </c>
      <c r="E73" s="2">
        <v>30</v>
      </c>
      <c r="G73" s="4" t="s">
        <v>8</v>
      </c>
    </row>
    <row r="74" spans="1:7" ht="12.75">
      <c r="A74" s="1">
        <v>42024</v>
      </c>
      <c r="B74">
        <f>+$B73+(24+75)</f>
        <v>1741019.7</v>
      </c>
      <c r="C74" s="3">
        <f t="shared" si="0"/>
        <v>1.6603657722473144</v>
      </c>
      <c r="E74" s="2">
        <v>30</v>
      </c>
      <c r="G74" s="5" t="s">
        <v>9</v>
      </c>
    </row>
    <row r="75" spans="1:5" ht="12.75">
      <c r="A75" s="1">
        <v>42048</v>
      </c>
      <c r="B75">
        <f>+$B74</f>
        <v>1741019.7</v>
      </c>
      <c r="C75" s="3">
        <f>+$B75/(1024*1024)</f>
        <v>1.6603657722473144</v>
      </c>
      <c r="E75" s="2">
        <v>30</v>
      </c>
    </row>
    <row r="76" spans="1:7" ht="12.75">
      <c r="A76" s="1">
        <v>42049</v>
      </c>
      <c r="B76">
        <f>+$B75+(21)</f>
        <v>1741040.7</v>
      </c>
      <c r="C76" s="3">
        <f t="shared" si="0"/>
        <v>1.660385799407959</v>
      </c>
      <c r="E76" s="2">
        <v>30</v>
      </c>
      <c r="G76" s="5" t="s">
        <v>10</v>
      </c>
    </row>
    <row r="77" spans="1:5" ht="12.75">
      <c r="A77" s="1">
        <v>42067</v>
      </c>
      <c r="B77">
        <f>+$B76+(213)</f>
        <v>1741253.7</v>
      </c>
      <c r="C77" s="3">
        <f t="shared" si="0"/>
        <v>1.6605889320373535</v>
      </c>
      <c r="E77" s="2">
        <v>30</v>
      </c>
    </row>
    <row r="78" spans="1:7" ht="12.75">
      <c r="A78" s="1">
        <v>42069</v>
      </c>
      <c r="B78">
        <f>+$B77+(1980+1310)</f>
        <v>1744543.7</v>
      </c>
      <c r="C78" s="3">
        <f t="shared" si="0"/>
        <v>1.66372652053833</v>
      </c>
      <c r="E78" s="2">
        <v>30</v>
      </c>
      <c r="G78" s="5" t="s">
        <v>11</v>
      </c>
    </row>
    <row r="79" spans="1:7" ht="12.75">
      <c r="A79" s="1">
        <v>42084</v>
      </c>
      <c r="B79">
        <f>+$B78+(372)</f>
        <v>1744915.7</v>
      </c>
      <c r="C79" s="3">
        <f t="shared" si="0"/>
        <v>1.6640812873840332</v>
      </c>
      <c r="E79" s="2">
        <v>30</v>
      </c>
      <c r="G79" s="5"/>
    </row>
    <row r="80" spans="1:7" ht="12.75">
      <c r="A80" s="1">
        <v>42120</v>
      </c>
      <c r="B80">
        <f>+$B79+(4976+18906+4394+1508+18533+9498)</f>
        <v>1802730.7</v>
      </c>
      <c r="C80" s="3">
        <f t="shared" si="0"/>
        <v>1.7192179679870605</v>
      </c>
      <c r="E80" s="2">
        <v>30</v>
      </c>
      <c r="G80" s="5" t="s">
        <v>12</v>
      </c>
    </row>
    <row r="81" spans="1:5" ht="12.75">
      <c r="A81" s="1">
        <v>42150</v>
      </c>
      <c r="B81">
        <f>+$B80</f>
        <v>1802730.7</v>
      </c>
      <c r="C81" s="3">
        <f aca="true" t="shared" si="1" ref="C81:C250">+$B81/(1024*1024)</f>
        <v>1.7192179679870605</v>
      </c>
      <c r="E81" s="2">
        <v>30</v>
      </c>
    </row>
    <row r="82" spans="1:7" ht="12.75">
      <c r="A82" s="1">
        <v>42151</v>
      </c>
      <c r="B82">
        <f>+$B81+(214)</f>
        <v>1802944.7</v>
      </c>
      <c r="C82" s="3">
        <f t="shared" si="1"/>
        <v>1.7194220542907714</v>
      </c>
      <c r="E82" s="2">
        <v>30</v>
      </c>
      <c r="G82" s="5" t="s">
        <v>13</v>
      </c>
    </row>
    <row r="83" spans="1:7" ht="12.75">
      <c r="A83" s="1">
        <v>42157</v>
      </c>
      <c r="B83">
        <f>+$B82+(10+1533)</f>
        <v>1804487.7</v>
      </c>
      <c r="C83" s="3">
        <f t="shared" si="1"/>
        <v>1.7208935737609863</v>
      </c>
      <c r="E83" s="2">
        <v>30</v>
      </c>
      <c r="G83" s="5"/>
    </row>
    <row r="84" spans="1:7" ht="12.75">
      <c r="A84" s="1">
        <v>42182</v>
      </c>
      <c r="B84">
        <f>+$B83+(11066+10112+7380+62660+77650)</f>
        <v>1973355.7</v>
      </c>
      <c r="C84" s="3">
        <f t="shared" si="1"/>
        <v>1.881938648223877</v>
      </c>
      <c r="E84" s="2">
        <v>30</v>
      </c>
      <c r="G84" s="5" t="s">
        <v>14</v>
      </c>
    </row>
    <row r="85" spans="1:5" ht="12.75">
      <c r="A85" s="1">
        <v>42189</v>
      </c>
      <c r="B85">
        <f>+$B84</f>
        <v>1973355.7</v>
      </c>
      <c r="C85" s="3">
        <f t="shared" si="1"/>
        <v>1.881938648223877</v>
      </c>
      <c r="E85" s="2">
        <v>30</v>
      </c>
    </row>
    <row r="86" spans="1:7" ht="12.75">
      <c r="A86" s="1">
        <v>42190</v>
      </c>
      <c r="B86">
        <f>+$B85+(8141)</f>
        <v>1981496.7</v>
      </c>
      <c r="C86" s="3">
        <f t="shared" si="1"/>
        <v>1.8897025108337402</v>
      </c>
      <c r="E86" s="2">
        <v>30</v>
      </c>
      <c r="G86" s="5" t="s">
        <v>15</v>
      </c>
    </row>
    <row r="87" spans="1:5" ht="12.75">
      <c r="A87" s="1">
        <v>42191</v>
      </c>
      <c r="B87">
        <f>+$B86</f>
        <v>1981496.7</v>
      </c>
      <c r="C87" s="3">
        <f t="shared" si="1"/>
        <v>1.8897025108337402</v>
      </c>
      <c r="E87" s="2">
        <v>30</v>
      </c>
    </row>
    <row r="88" spans="1:7" ht="12.75">
      <c r="A88" s="1">
        <v>42192</v>
      </c>
      <c r="B88">
        <f>+$B87+(1143)</f>
        <v>1982639.7</v>
      </c>
      <c r="C88" s="3">
        <f t="shared" si="1"/>
        <v>1.8907925605773925</v>
      </c>
      <c r="E88" s="2">
        <v>30</v>
      </c>
      <c r="G88" s="5" t="s">
        <v>16</v>
      </c>
    </row>
    <row r="89" spans="1:7" ht="12.75">
      <c r="A89" s="1">
        <v>42203</v>
      </c>
      <c r="B89">
        <f>+$B88</f>
        <v>1982639.7</v>
      </c>
      <c r="C89" s="3">
        <f t="shared" si="1"/>
        <v>1.8907925605773925</v>
      </c>
      <c r="E89" s="2">
        <v>30</v>
      </c>
      <c r="G89" s="5" t="s">
        <v>15</v>
      </c>
    </row>
    <row r="90" spans="1:7" ht="12.75">
      <c r="A90" s="1">
        <v>42205</v>
      </c>
      <c r="B90">
        <f>+$B89+(587)</f>
        <v>1983226.7</v>
      </c>
      <c r="C90" s="3">
        <f t="shared" si="1"/>
        <v>1.891352367401123</v>
      </c>
      <c r="E90" s="2">
        <v>30</v>
      </c>
      <c r="G90" s="5"/>
    </row>
    <row r="91" spans="1:7" ht="12.75">
      <c r="A91" s="1">
        <v>42208</v>
      </c>
      <c r="B91">
        <f>+$B90</f>
        <v>1983226.7</v>
      </c>
      <c r="C91" s="3">
        <f t="shared" si="1"/>
        <v>1.891352367401123</v>
      </c>
      <c r="E91" s="2">
        <v>30</v>
      </c>
      <c r="G91" s="5" t="s">
        <v>15</v>
      </c>
    </row>
    <row r="92" spans="1:5" ht="12.75">
      <c r="A92" s="1">
        <v>42209</v>
      </c>
      <c r="B92">
        <f>+$B91+(13515)</f>
        <v>1996741.7</v>
      </c>
      <c r="C92" s="3">
        <f t="shared" si="1"/>
        <v>1.9042412757873535</v>
      </c>
      <c r="E92" s="2">
        <v>30</v>
      </c>
    </row>
    <row r="93" spans="1:5" ht="12.75">
      <c r="A93" s="1">
        <v>42255</v>
      </c>
      <c r="B93">
        <f>+$B92+(77)</f>
        <v>1996818.7</v>
      </c>
      <c r="C93" s="3">
        <f t="shared" si="1"/>
        <v>1.9043147087097168</v>
      </c>
      <c r="E93" s="2">
        <v>30</v>
      </c>
    </row>
    <row r="94" spans="1:7" ht="12.75">
      <c r="A94" s="1">
        <v>42256</v>
      </c>
      <c r="B94">
        <f>+$B93+(18216)</f>
        <v>2015034.7</v>
      </c>
      <c r="C94" s="3">
        <f t="shared" si="1"/>
        <v>1.921686840057373</v>
      </c>
      <c r="E94" s="2">
        <v>30</v>
      </c>
      <c r="G94" t="s">
        <v>17</v>
      </c>
    </row>
    <row r="95" spans="1:5" ht="12.75">
      <c r="A95" s="1">
        <v>42262</v>
      </c>
      <c r="B95">
        <f>+$B94+(762)</f>
        <v>2015796.7</v>
      </c>
      <c r="C95" s="3">
        <f t="shared" si="1"/>
        <v>1.9224135398864746</v>
      </c>
      <c r="E95" s="2">
        <v>30</v>
      </c>
    </row>
    <row r="96" spans="1:7" ht="12.75">
      <c r="A96" s="1">
        <v>42263</v>
      </c>
      <c r="B96">
        <f>+$B95+(6753)</f>
        <v>2022549.7</v>
      </c>
      <c r="C96" s="3">
        <f t="shared" si="1"/>
        <v>1.928853702545166</v>
      </c>
      <c r="E96" s="2">
        <v>30</v>
      </c>
      <c r="G96" t="s">
        <v>18</v>
      </c>
    </row>
    <row r="97" spans="1:5" ht="12.75">
      <c r="A97" s="1">
        <v>42268</v>
      </c>
      <c r="B97">
        <f>+$B96</f>
        <v>2022549.7</v>
      </c>
      <c r="C97" s="3">
        <f t="shared" si="1"/>
        <v>1.928853702545166</v>
      </c>
      <c r="E97" s="2">
        <v>30</v>
      </c>
    </row>
    <row r="98" spans="1:7" ht="12.75">
      <c r="A98" s="1">
        <v>42270</v>
      </c>
      <c r="B98">
        <f>+$B97+(16363)</f>
        <v>2038912.7</v>
      </c>
      <c r="C98" s="3">
        <f t="shared" si="1"/>
        <v>1.9444586753845214</v>
      </c>
      <c r="E98" s="2">
        <v>30</v>
      </c>
      <c r="G98" t="s">
        <v>20</v>
      </c>
    </row>
    <row r="99" spans="1:5" ht="12.75">
      <c r="A99" s="1">
        <v>42272</v>
      </c>
      <c r="B99">
        <f>+$B98</f>
        <v>2038912.7</v>
      </c>
      <c r="C99" s="3">
        <f t="shared" si="1"/>
        <v>1.9444586753845214</v>
      </c>
      <c r="E99" s="2">
        <v>30</v>
      </c>
    </row>
    <row r="100" spans="1:7" ht="12.75">
      <c r="A100" s="1">
        <v>42276</v>
      </c>
      <c r="B100">
        <f>+$B99+(126638+122604)</f>
        <v>2288154.7</v>
      </c>
      <c r="C100" s="3">
        <f t="shared" si="1"/>
        <v>2.1821543693542482</v>
      </c>
      <c r="E100" s="2">
        <v>30</v>
      </c>
      <c r="G100" t="s">
        <v>19</v>
      </c>
    </row>
    <row r="101" spans="1:5" ht="12.75">
      <c r="A101" s="1">
        <v>42283</v>
      </c>
      <c r="B101">
        <f>+$B100+(20)</f>
        <v>2288174.7</v>
      </c>
      <c r="C101" s="3">
        <f t="shared" si="1"/>
        <v>2.1821734428405763</v>
      </c>
      <c r="E101" s="2">
        <v>30</v>
      </c>
    </row>
    <row r="102" spans="1:7" ht="12.75">
      <c r="A102" s="1">
        <v>42284</v>
      </c>
      <c r="B102">
        <f>+$B101+(27954)</f>
        <v>2316128.7</v>
      </c>
      <c r="C102" s="3">
        <f t="shared" si="1"/>
        <v>2.2088324546813967</v>
      </c>
      <c r="E102" s="2">
        <v>30</v>
      </c>
      <c r="G102" t="s">
        <v>21</v>
      </c>
    </row>
    <row r="103" spans="1:5" ht="12.75">
      <c r="A103" s="1">
        <v>42290</v>
      </c>
      <c r="B103">
        <f>+$B102</f>
        <v>2316128.7</v>
      </c>
      <c r="C103" s="3">
        <f t="shared" si="1"/>
        <v>2.2088324546813967</v>
      </c>
      <c r="E103" s="2">
        <v>30</v>
      </c>
    </row>
    <row r="104" spans="1:7" ht="12.75">
      <c r="A104" s="1">
        <v>42291</v>
      </c>
      <c r="B104">
        <f>+$B103+(8785)</f>
        <v>2324913.7</v>
      </c>
      <c r="C104" s="3">
        <f t="shared" si="1"/>
        <v>2.2172104835510256</v>
      </c>
      <c r="E104" s="2">
        <v>30</v>
      </c>
      <c r="G104" t="s">
        <v>19</v>
      </c>
    </row>
    <row r="105" spans="1:5" ht="12.75">
      <c r="A105" s="1">
        <v>42331</v>
      </c>
      <c r="B105">
        <f>+$B104+(453+267)</f>
        <v>2325633.7</v>
      </c>
      <c r="C105" s="3">
        <f t="shared" si="1"/>
        <v>2.217897129058838</v>
      </c>
      <c r="E105" s="2">
        <v>30</v>
      </c>
    </row>
    <row r="106" spans="1:7" ht="12.75">
      <c r="A106" s="1">
        <v>42332</v>
      </c>
      <c r="B106">
        <f>+$B105+(8834)</f>
        <v>2334467.7</v>
      </c>
      <c r="C106" s="3">
        <f t="shared" si="1"/>
        <v>2.226321887969971</v>
      </c>
      <c r="E106" s="2">
        <v>30</v>
      </c>
      <c r="G106" t="s">
        <v>22</v>
      </c>
    </row>
    <row r="107" spans="1:5" ht="12.75">
      <c r="A107" s="1">
        <v>42341</v>
      </c>
      <c r="B107">
        <f>+$B106</f>
        <v>2334467.7</v>
      </c>
      <c r="C107" s="3">
        <f t="shared" si="1"/>
        <v>2.226321887969971</v>
      </c>
      <c r="E107" s="2">
        <v>30</v>
      </c>
    </row>
    <row r="108" spans="1:7" ht="12.75">
      <c r="A108" s="1">
        <v>42345</v>
      </c>
      <c r="B108">
        <f>+$B107+(17869)</f>
        <v>2352336.7</v>
      </c>
      <c r="C108" s="3">
        <f t="shared" si="1"/>
        <v>2.243363094329834</v>
      </c>
      <c r="E108" s="2">
        <v>30</v>
      </c>
      <c r="G108" t="s">
        <v>23</v>
      </c>
    </row>
    <row r="109" spans="1:5" ht="12.75">
      <c r="A109" s="1">
        <v>42351</v>
      </c>
      <c r="B109">
        <f>+$B108</f>
        <v>2352336.7</v>
      </c>
      <c r="C109" s="3">
        <f t="shared" si="1"/>
        <v>2.243363094329834</v>
      </c>
      <c r="E109" s="2">
        <v>30</v>
      </c>
    </row>
    <row r="110" spans="1:7" ht="12.75">
      <c r="A110" s="1">
        <v>42355</v>
      </c>
      <c r="B110">
        <f>+$B109+(52433)</f>
        <v>2404769.7</v>
      </c>
      <c r="C110" s="3">
        <f t="shared" si="1"/>
        <v>2.293367099761963</v>
      </c>
      <c r="E110" s="2">
        <v>30</v>
      </c>
      <c r="G110" t="s">
        <v>24</v>
      </c>
    </row>
    <row r="111" spans="1:5" ht="12.75">
      <c r="A111" s="1">
        <v>42418</v>
      </c>
      <c r="B111">
        <f>+$B110</f>
        <v>2404769.7</v>
      </c>
      <c r="C111" s="3">
        <f t="shared" si="1"/>
        <v>2.293367099761963</v>
      </c>
      <c r="E111" s="2">
        <v>30</v>
      </c>
    </row>
    <row r="112" spans="1:7" ht="12.75">
      <c r="A112" s="1">
        <v>42422</v>
      </c>
      <c r="B112">
        <f>+$B111+(647+1803)</f>
        <v>2407219.7</v>
      </c>
      <c r="C112" s="3">
        <f t="shared" si="1"/>
        <v>2.2957036018371584</v>
      </c>
      <c r="E112" s="2">
        <v>30</v>
      </c>
      <c r="G112" t="s">
        <v>31</v>
      </c>
    </row>
    <row r="113" spans="1:7" ht="12.75">
      <c r="A113" s="1">
        <v>42423</v>
      </c>
      <c r="B113">
        <f>+$B112+(19835)</f>
        <v>2427054.7</v>
      </c>
      <c r="C113" s="3">
        <f t="shared" si="1"/>
        <v>2.3146197319030763</v>
      </c>
      <c r="E113" s="2">
        <v>30</v>
      </c>
      <c r="G113" t="s">
        <v>25</v>
      </c>
    </row>
    <row r="114" spans="1:5" ht="12.75">
      <c r="A114" s="1">
        <v>42424</v>
      </c>
      <c r="B114">
        <f>+$B113</f>
        <v>2427054.7</v>
      </c>
      <c r="C114" s="3">
        <f t="shared" si="1"/>
        <v>2.3146197319030763</v>
      </c>
      <c r="E114" s="2">
        <v>30</v>
      </c>
    </row>
    <row r="115" spans="1:7" ht="12.75">
      <c r="A115" s="1">
        <v>42427</v>
      </c>
      <c r="B115">
        <f>+$B114+(54216)</f>
        <v>2481270.7</v>
      </c>
      <c r="C115" s="3">
        <f t="shared" si="1"/>
        <v>2.3663241386413576</v>
      </c>
      <c r="E115" s="2">
        <v>30</v>
      </c>
      <c r="G115" s="6" t="s">
        <v>26</v>
      </c>
    </row>
    <row r="116" spans="1:5" ht="12.75">
      <c r="A116" s="1">
        <v>42428</v>
      </c>
      <c r="B116">
        <f>+$B115</f>
        <v>2481270.7</v>
      </c>
      <c r="C116" s="3">
        <f t="shared" si="1"/>
        <v>2.3663241386413576</v>
      </c>
      <c r="E116" s="2">
        <v>30</v>
      </c>
    </row>
    <row r="117" spans="1:7" ht="12.75">
      <c r="A117" s="1">
        <v>42436</v>
      </c>
      <c r="B117">
        <f>+$B116+(90888)</f>
        <v>2572158.7</v>
      </c>
      <c r="C117" s="3">
        <f t="shared" si="1"/>
        <v>2.453001689910889</v>
      </c>
      <c r="E117" s="2">
        <v>30</v>
      </c>
      <c r="G117" s="6" t="s">
        <v>27</v>
      </c>
    </row>
    <row r="118" spans="1:7" ht="12.75">
      <c r="A118" s="1">
        <v>42437</v>
      </c>
      <c r="B118">
        <f>+$B117+(9336+3892)</f>
        <v>2585386.7</v>
      </c>
      <c r="C118" s="3">
        <f t="shared" si="1"/>
        <v>2.4656168937683107</v>
      </c>
      <c r="E118" s="2">
        <v>30</v>
      </c>
      <c r="G118" t="s">
        <v>28</v>
      </c>
    </row>
    <row r="119" spans="1:7" ht="12.75">
      <c r="A119" s="1">
        <v>42439</v>
      </c>
      <c r="B119">
        <f>+$B118</f>
        <v>2585386.7</v>
      </c>
      <c r="C119" s="3">
        <f t="shared" si="1"/>
        <v>2.4656168937683107</v>
      </c>
      <c r="E119" s="2">
        <v>30</v>
      </c>
      <c r="G119" s="6"/>
    </row>
    <row r="120" spans="1:7" ht="12.75">
      <c r="A120" s="1">
        <v>42440</v>
      </c>
      <c r="B120">
        <f>+$B119+(9004)</f>
        <v>2594390.7</v>
      </c>
      <c r="C120" s="3">
        <f t="shared" si="1"/>
        <v>2.4742037773132326</v>
      </c>
      <c r="E120" s="2">
        <v>30</v>
      </c>
      <c r="G120" t="s">
        <v>29</v>
      </c>
    </row>
    <row r="121" spans="1:7" ht="12.75">
      <c r="A121" s="1">
        <v>42441</v>
      </c>
      <c r="B121">
        <f>+$B120+(10630)</f>
        <v>2605020.7</v>
      </c>
      <c r="C121" s="3">
        <f t="shared" si="1"/>
        <v>2.484341335296631</v>
      </c>
      <c r="E121" s="2">
        <v>30</v>
      </c>
      <c r="G121" t="s">
        <v>28</v>
      </c>
    </row>
    <row r="122" spans="1:7" ht="12.75">
      <c r="A122" s="1">
        <v>42453</v>
      </c>
      <c r="B122">
        <f>+$B121+(154576+138414)</f>
        <v>2898010.7</v>
      </c>
      <c r="C122" s="3">
        <f t="shared" si="1"/>
        <v>2.7637583732604982</v>
      </c>
      <c r="E122" s="2">
        <v>30</v>
      </c>
      <c r="G122" t="s">
        <v>30</v>
      </c>
    </row>
    <row r="123" spans="1:5" ht="12.75">
      <c r="A123" s="1">
        <v>42547</v>
      </c>
      <c r="B123">
        <f>+$B122+(917)</f>
        <v>2898927.7</v>
      </c>
      <c r="C123" s="3">
        <f t="shared" si="1"/>
        <v>2.7646328926086428</v>
      </c>
      <c r="E123" s="2">
        <v>30</v>
      </c>
    </row>
    <row r="124" spans="1:7" ht="12.75">
      <c r="A124" s="1">
        <v>42548</v>
      </c>
      <c r="B124">
        <f>+$B123+(3767)</f>
        <v>2902694.7</v>
      </c>
      <c r="C124" s="3">
        <f t="shared" si="1"/>
        <v>2.768225383758545</v>
      </c>
      <c r="E124" s="2">
        <v>30</v>
      </c>
      <c r="G124" t="s">
        <v>32</v>
      </c>
    </row>
    <row r="125" spans="1:5" ht="12.75">
      <c r="A125" s="1">
        <v>42557</v>
      </c>
      <c r="B125">
        <f>+$B124</f>
        <v>2902694.7</v>
      </c>
      <c r="C125" s="3">
        <f t="shared" si="1"/>
        <v>2.768225383758545</v>
      </c>
      <c r="E125" s="2">
        <v>30</v>
      </c>
    </row>
    <row r="126" spans="1:7" ht="12.75">
      <c r="A126" s="1">
        <v>42558</v>
      </c>
      <c r="B126">
        <f>+$B125+(23375)</f>
        <v>2926069.7</v>
      </c>
      <c r="C126" s="3">
        <f t="shared" si="1"/>
        <v>2.790517520904541</v>
      </c>
      <c r="E126" s="2">
        <v>30</v>
      </c>
      <c r="G126" t="s">
        <v>33</v>
      </c>
    </row>
    <row r="127" spans="1:7" ht="12.75">
      <c r="A127" s="1">
        <v>42561</v>
      </c>
      <c r="B127">
        <f>+$B126+(4845+78242)</f>
        <v>3009156.7</v>
      </c>
      <c r="C127" s="3">
        <f t="shared" si="1"/>
        <v>2.8697554588317873</v>
      </c>
      <c r="E127" s="2">
        <v>30</v>
      </c>
      <c r="G127" t="s">
        <v>34</v>
      </c>
    </row>
    <row r="128" spans="1:5" ht="12.75">
      <c r="A128" s="1">
        <v>42565</v>
      </c>
      <c r="B128">
        <f>+$B127</f>
        <v>3009156.7</v>
      </c>
      <c r="C128" s="3">
        <f t="shared" si="1"/>
        <v>2.8697554588317873</v>
      </c>
      <c r="E128" s="2">
        <v>30</v>
      </c>
    </row>
    <row r="129" spans="1:7" ht="12.75">
      <c r="A129" s="1">
        <v>42576</v>
      </c>
      <c r="B129">
        <f>+$B128+(34456+35221+40446+45959+19321+13419+52937+3298+1169+4120+79454+9812+65362)</f>
        <v>3414130.7</v>
      </c>
      <c r="C129" s="3">
        <f t="shared" si="1"/>
        <v>3.255968761444092</v>
      </c>
      <c r="E129" s="2">
        <v>30</v>
      </c>
      <c r="G129" t="s">
        <v>35</v>
      </c>
    </row>
    <row r="130" spans="1:7" ht="12.75">
      <c r="A130" s="1">
        <v>42579</v>
      </c>
      <c r="B130">
        <f>+$B129+(49322+28774+98716+3774+56748)</f>
        <v>3651464.7</v>
      </c>
      <c r="C130" s="3">
        <f t="shared" si="1"/>
        <v>3.482308101654053</v>
      </c>
      <c r="E130" s="2">
        <v>30</v>
      </c>
      <c r="G130" t="s">
        <v>36</v>
      </c>
    </row>
    <row r="131" spans="1:5" ht="12.75">
      <c r="A131" s="1">
        <v>42633</v>
      </c>
      <c r="B131">
        <f>+$B130+(568)</f>
        <v>3652032.7</v>
      </c>
      <c r="C131" s="3">
        <f t="shared" si="1"/>
        <v>3.4828497886657717</v>
      </c>
      <c r="E131" s="2">
        <v>30</v>
      </c>
    </row>
    <row r="132" spans="1:7" ht="12.75">
      <c r="A132" s="1">
        <v>42634</v>
      </c>
      <c r="B132">
        <f>+$B131+(840)</f>
        <v>3652872.7</v>
      </c>
      <c r="C132" s="3">
        <f t="shared" si="1"/>
        <v>3.483650875091553</v>
      </c>
      <c r="E132" s="2">
        <v>30</v>
      </c>
      <c r="G132" t="s">
        <v>37</v>
      </c>
    </row>
    <row r="133" spans="1:5" ht="12.75">
      <c r="A133" s="1">
        <v>42635</v>
      </c>
      <c r="B133">
        <f>+$B132</f>
        <v>3652872.7</v>
      </c>
      <c r="C133" s="3">
        <f t="shared" si="1"/>
        <v>3.483650875091553</v>
      </c>
      <c r="E133" s="2">
        <v>30</v>
      </c>
    </row>
    <row r="134" spans="1:7" ht="12.75">
      <c r="A134" s="1">
        <v>42637</v>
      </c>
      <c r="B134">
        <f>+$B133+(22521+130)</f>
        <v>3675523.7</v>
      </c>
      <c r="C134" s="3">
        <f t="shared" si="1"/>
        <v>3.505252552032471</v>
      </c>
      <c r="E134" s="2">
        <v>30</v>
      </c>
      <c r="G134" t="s">
        <v>38</v>
      </c>
    </row>
    <row r="135" spans="1:5" ht="12.75">
      <c r="A135" s="1">
        <v>42643</v>
      </c>
      <c r="B135">
        <f>+$B134+(262+6367)</f>
        <v>3682152.7</v>
      </c>
      <c r="C135" s="3">
        <f t="shared" si="1"/>
        <v>3.511574459075928</v>
      </c>
      <c r="E135" s="2">
        <v>30</v>
      </c>
    </row>
    <row r="136" spans="1:7" ht="12.75">
      <c r="A136" s="1">
        <v>42644</v>
      </c>
      <c r="B136">
        <f>+$B135+(14831)</f>
        <v>3696983.7</v>
      </c>
      <c r="C136" s="3">
        <f t="shared" si="1"/>
        <v>3.525718402862549</v>
      </c>
      <c r="E136" s="2">
        <v>30</v>
      </c>
      <c r="G136" t="s">
        <v>33</v>
      </c>
    </row>
    <row r="137" spans="1:5" ht="12.75">
      <c r="A137" s="1">
        <v>42646</v>
      </c>
      <c r="B137">
        <f>+$B136</f>
        <v>3696983.7</v>
      </c>
      <c r="C137" s="3">
        <f t="shared" si="1"/>
        <v>3.525718402862549</v>
      </c>
      <c r="E137" s="2">
        <v>30</v>
      </c>
    </row>
    <row r="138" spans="1:7" ht="12.75">
      <c r="A138" s="1">
        <v>42648</v>
      </c>
      <c r="B138">
        <f>+$B137+(15280)</f>
        <v>3712263.7</v>
      </c>
      <c r="C138" s="3">
        <f t="shared" si="1"/>
        <v>3.5402905464172365</v>
      </c>
      <c r="E138" s="2">
        <v>30</v>
      </c>
      <c r="G138" t="s">
        <v>38</v>
      </c>
    </row>
    <row r="139" spans="1:7" ht="12.75">
      <c r="A139" s="1">
        <v>42650</v>
      </c>
      <c r="B139">
        <f>+$B138+(22736)</f>
        <v>3734999.7</v>
      </c>
      <c r="C139" s="3">
        <f t="shared" si="1"/>
        <v>3.561973285675049</v>
      </c>
      <c r="E139" s="2">
        <v>30</v>
      </c>
      <c r="G139" t="s">
        <v>39</v>
      </c>
    </row>
    <row r="140" spans="1:7" ht="12.75">
      <c r="A140" s="1">
        <v>42652</v>
      </c>
      <c r="B140">
        <f>+$B139+(16565+12202)</f>
        <v>3763766.7</v>
      </c>
      <c r="C140" s="3">
        <f t="shared" si="1"/>
        <v>3.5894076347351076</v>
      </c>
      <c r="E140" s="2">
        <v>30</v>
      </c>
      <c r="G140" t="s">
        <v>34</v>
      </c>
    </row>
    <row r="141" spans="1:5" ht="12.75">
      <c r="A141" s="1">
        <v>42660</v>
      </c>
      <c r="B141">
        <f>+$B140</f>
        <v>3763766.7</v>
      </c>
      <c r="C141" s="3">
        <f t="shared" si="1"/>
        <v>3.5894076347351076</v>
      </c>
      <c r="E141" s="2">
        <v>30</v>
      </c>
    </row>
    <row r="142" spans="1:7" ht="12.75">
      <c r="A142" s="1">
        <v>42661</v>
      </c>
      <c r="B142">
        <f>+$B141+(1476)</f>
        <v>3765242.7</v>
      </c>
      <c r="C142" s="3">
        <f t="shared" si="1"/>
        <v>3.5908152580261232</v>
      </c>
      <c r="E142" s="2">
        <v>30</v>
      </c>
      <c r="G142" t="s">
        <v>40</v>
      </c>
    </row>
    <row r="143" spans="1:7" ht="12.75">
      <c r="A143" s="1">
        <v>42665</v>
      </c>
      <c r="B143">
        <f>+$B142+(40910)</f>
        <v>3806152.7</v>
      </c>
      <c r="C143" s="3">
        <f t="shared" si="1"/>
        <v>3.629830074310303</v>
      </c>
      <c r="E143" s="2">
        <v>30</v>
      </c>
      <c r="G143" t="s">
        <v>33</v>
      </c>
    </row>
    <row r="144" spans="1:5" ht="12.75">
      <c r="A144" s="1">
        <v>42668</v>
      </c>
      <c r="B144">
        <f>+$B143</f>
        <v>3806152.7</v>
      </c>
      <c r="C144" s="3">
        <f t="shared" si="1"/>
        <v>3.629830074310303</v>
      </c>
      <c r="E144" s="2">
        <v>30</v>
      </c>
    </row>
    <row r="145" spans="1:7" ht="12.75">
      <c r="A145" s="1">
        <v>42670</v>
      </c>
      <c r="B145">
        <f>+$B144+(277182)</f>
        <v>4083334.7</v>
      </c>
      <c r="C145" s="3">
        <f t="shared" si="1"/>
        <v>3.89417142868042</v>
      </c>
      <c r="E145" s="2">
        <v>30</v>
      </c>
      <c r="G145" t="s">
        <v>30</v>
      </c>
    </row>
    <row r="146" spans="1:7" ht="12.75">
      <c r="A146" s="1">
        <v>42671</v>
      </c>
      <c r="B146">
        <f>+$B145+(7455+83671+37022)</f>
        <v>4211482.7</v>
      </c>
      <c r="C146" s="3">
        <f t="shared" si="1"/>
        <v>4.016382884979248</v>
      </c>
      <c r="E146" s="2">
        <v>30</v>
      </c>
      <c r="G146" t="s">
        <v>41</v>
      </c>
    </row>
    <row r="147" spans="1:5" ht="12.75">
      <c r="A147" s="1">
        <v>42689</v>
      </c>
      <c r="B147">
        <f>+$B146</f>
        <v>4211482.7</v>
      </c>
      <c r="C147" s="3">
        <f t="shared" si="1"/>
        <v>4.016382884979248</v>
      </c>
      <c r="E147" s="2">
        <v>30</v>
      </c>
    </row>
    <row r="148" spans="1:7" ht="12.75">
      <c r="A148" s="1">
        <v>42690</v>
      </c>
      <c r="B148">
        <f>+$B147+(1142)</f>
        <v>4212624.7</v>
      </c>
      <c r="C148" s="3">
        <f t="shared" si="1"/>
        <v>4.017471981048584</v>
      </c>
      <c r="E148" s="2">
        <v>30</v>
      </c>
      <c r="G148" t="s">
        <v>42</v>
      </c>
    </row>
    <row r="149" spans="1:5" ht="12.75">
      <c r="A149" s="1">
        <v>42692</v>
      </c>
      <c r="B149">
        <f>+$B148</f>
        <v>4212624.7</v>
      </c>
      <c r="C149" s="3">
        <f t="shared" si="1"/>
        <v>4.017471981048584</v>
      </c>
      <c r="E149" s="2">
        <v>30</v>
      </c>
    </row>
    <row r="150" spans="1:7" ht="12.75">
      <c r="A150" s="1">
        <v>42697</v>
      </c>
      <c r="B150">
        <f>+$B149+(20894+74120+41+3196+35216+6711+6782)</f>
        <v>4359584.7</v>
      </c>
      <c r="C150" s="3">
        <f t="shared" si="1"/>
        <v>4.157623958587647</v>
      </c>
      <c r="E150" s="2">
        <v>30</v>
      </c>
      <c r="G150" t="s">
        <v>43</v>
      </c>
    </row>
    <row r="151" spans="1:5" ht="12.75">
      <c r="A151" s="1">
        <v>42699</v>
      </c>
      <c r="B151">
        <f>+$B150+(75)</f>
        <v>4359659.7</v>
      </c>
      <c r="C151" s="3">
        <f t="shared" si="1"/>
        <v>4.157695484161377</v>
      </c>
      <c r="E151" s="2">
        <v>30</v>
      </c>
    </row>
    <row r="152" spans="1:7" ht="12.75">
      <c r="A152" s="1">
        <v>42701</v>
      </c>
      <c r="B152">
        <f>+$B151+(73174+10526)</f>
        <v>4443359.7</v>
      </c>
      <c r="C152" s="3">
        <f t="shared" si="1"/>
        <v>4.23751802444458</v>
      </c>
      <c r="E152" s="2">
        <v>30</v>
      </c>
      <c r="G152" t="s">
        <v>44</v>
      </c>
    </row>
    <row r="153" spans="1:5" ht="12.75">
      <c r="A153" s="1">
        <v>42702</v>
      </c>
      <c r="B153">
        <f>+$B152+(0)</f>
        <v>4443359.7</v>
      </c>
      <c r="C153" s="3">
        <f t="shared" si="1"/>
        <v>4.23751802444458</v>
      </c>
      <c r="E153" s="2">
        <v>30</v>
      </c>
    </row>
    <row r="154" spans="1:7" ht="12.75">
      <c r="A154" s="1">
        <v>42709</v>
      </c>
      <c r="B154">
        <f>+$B153+(23320+40155+113223)</f>
        <v>4620057.7</v>
      </c>
      <c r="C154" s="3">
        <f t="shared" si="1"/>
        <v>4.406030368804932</v>
      </c>
      <c r="E154" s="2">
        <v>30</v>
      </c>
      <c r="G154" t="s">
        <v>45</v>
      </c>
    </row>
    <row r="155" spans="1:7" ht="12.75">
      <c r="A155" s="1">
        <v>42712</v>
      </c>
      <c r="B155">
        <f>+$B154+(293888+56340)</f>
        <v>4970285.7</v>
      </c>
      <c r="C155" s="3">
        <f t="shared" si="1"/>
        <v>4.74003381729126</v>
      </c>
      <c r="E155" s="2">
        <v>30</v>
      </c>
      <c r="G155" t="s">
        <v>46</v>
      </c>
    </row>
    <row r="156" spans="1:7" ht="12.75">
      <c r="A156" s="1">
        <v>42716</v>
      </c>
      <c r="B156">
        <f>+$B155+(15278+98256+263623+105330)</f>
        <v>5452772.7</v>
      </c>
      <c r="C156" s="3">
        <f t="shared" si="1"/>
        <v>5.200169277191162</v>
      </c>
      <c r="E156" s="2">
        <v>30</v>
      </c>
      <c r="G156" t="s">
        <v>47</v>
      </c>
    </row>
    <row r="157" spans="1:7" ht="12.75">
      <c r="A157" s="1">
        <v>42718</v>
      </c>
      <c r="B157">
        <f>+$B156+(20208+20327+92022+3556+167770+1644)</f>
        <v>5758299.7</v>
      </c>
      <c r="C157" s="3">
        <f t="shared" si="1"/>
        <v>5.491542530059815</v>
      </c>
      <c r="E157" s="2">
        <v>30</v>
      </c>
      <c r="G157" t="s">
        <v>48</v>
      </c>
    </row>
    <row r="158" spans="1:7" ht="12.75">
      <c r="A158" s="1">
        <v>42720</v>
      </c>
      <c r="B158">
        <f>+$B157+(164015)</f>
        <v>5922314.7</v>
      </c>
      <c r="C158" s="3">
        <f t="shared" si="1"/>
        <v>5.647959423065186</v>
      </c>
      <c r="E158" s="2">
        <v>30</v>
      </c>
      <c r="G158" t="s">
        <v>49</v>
      </c>
    </row>
    <row r="159" spans="1:5" ht="12.75">
      <c r="A159" s="1">
        <v>42777</v>
      </c>
      <c r="B159">
        <f>+$B158+(45)</f>
        <v>5922359.7</v>
      </c>
      <c r="C159" s="3">
        <f t="shared" si="1"/>
        <v>5.648002338409424</v>
      </c>
      <c r="E159" s="2">
        <v>30</v>
      </c>
    </row>
    <row r="160" spans="1:7" ht="12.75">
      <c r="A160" s="1">
        <v>42778</v>
      </c>
      <c r="B160">
        <f>+$B159+(1072)</f>
        <v>5923431.7</v>
      </c>
      <c r="C160" s="3">
        <f t="shared" si="1"/>
        <v>5.6490246772766115</v>
      </c>
      <c r="E160" s="2">
        <v>30</v>
      </c>
      <c r="G160" t="s">
        <v>50</v>
      </c>
    </row>
    <row r="161" spans="1:5" ht="12.75">
      <c r="A161" s="1">
        <v>42781</v>
      </c>
      <c r="B161">
        <f>+$B160+(1096)</f>
        <v>5924527.7</v>
      </c>
      <c r="C161" s="3">
        <f t="shared" si="1"/>
        <v>5.650069904327393</v>
      </c>
      <c r="E161" s="2">
        <v>30</v>
      </c>
    </row>
    <row r="162" spans="1:7" ht="12.75">
      <c r="A162" s="1">
        <v>42782</v>
      </c>
      <c r="B162">
        <f>+$B161+(9768)</f>
        <v>5934295.7</v>
      </c>
      <c r="C162" s="3">
        <f t="shared" si="1"/>
        <v>5.659385395050049</v>
      </c>
      <c r="E162" s="2">
        <v>30</v>
      </c>
      <c r="G162" t="s">
        <v>51</v>
      </c>
    </row>
    <row r="163" spans="1:5" ht="12.75">
      <c r="A163" s="1">
        <v>42783</v>
      </c>
      <c r="B163">
        <f>+$B162+(0)</f>
        <v>5934295.7</v>
      </c>
      <c r="C163" s="3">
        <f t="shared" si="1"/>
        <v>5.659385395050049</v>
      </c>
      <c r="E163" s="2">
        <v>30</v>
      </c>
    </row>
    <row r="164" spans="1:7" ht="12.75">
      <c r="A164" s="1">
        <v>42785</v>
      </c>
      <c r="B164">
        <f>+$B163+(53468)</f>
        <v>5987763.7</v>
      </c>
      <c r="C164" s="3">
        <f t="shared" si="1"/>
        <v>5.710376453399658</v>
      </c>
      <c r="E164" s="2">
        <v>30</v>
      </c>
      <c r="G164" t="s">
        <v>52</v>
      </c>
    </row>
    <row r="165" spans="1:5" ht="12.75">
      <c r="A165" s="1">
        <v>42788</v>
      </c>
      <c r="B165">
        <f>+$B164+(0)</f>
        <v>5987763.7</v>
      </c>
      <c r="C165" s="3">
        <f t="shared" si="1"/>
        <v>5.710376453399658</v>
      </c>
      <c r="E165" s="2">
        <v>30</v>
      </c>
    </row>
    <row r="166" spans="1:7" ht="12.75">
      <c r="A166" s="1">
        <v>42789</v>
      </c>
      <c r="B166">
        <f>+$B165+(46355)</f>
        <v>6034118.7</v>
      </c>
      <c r="C166" s="3">
        <f t="shared" si="1"/>
        <v>5.75458402633667</v>
      </c>
      <c r="E166" s="2">
        <v>30</v>
      </c>
      <c r="G166" t="s">
        <v>53</v>
      </c>
    </row>
    <row r="167" spans="1:7" ht="12.75">
      <c r="A167" s="1">
        <v>42792</v>
      </c>
      <c r="B167">
        <f>+$B166+(161110+76456)</f>
        <v>6271684.7</v>
      </c>
      <c r="C167" s="3">
        <f t="shared" si="1"/>
        <v>5.981144618988037</v>
      </c>
      <c r="E167" s="2">
        <v>30</v>
      </c>
      <c r="G167" t="s">
        <v>54</v>
      </c>
    </row>
    <row r="168" spans="1:5" ht="12.75">
      <c r="A168" s="1">
        <v>42796</v>
      </c>
      <c r="B168">
        <f>+$B167+(0)</f>
        <v>6271684.7</v>
      </c>
      <c r="C168" s="3">
        <f t="shared" si="1"/>
        <v>5.981144618988037</v>
      </c>
      <c r="E168" s="2">
        <v>30</v>
      </c>
    </row>
    <row r="169" spans="1:7" ht="12.75">
      <c r="A169" s="1">
        <v>42800</v>
      </c>
      <c r="B169">
        <f>+$B168+(397645+35847)</f>
        <v>6705176.7</v>
      </c>
      <c r="C169" s="3">
        <f t="shared" si="1"/>
        <v>6.394554805755615</v>
      </c>
      <c r="E169" s="2">
        <v>30</v>
      </c>
      <c r="G169" t="s">
        <v>55</v>
      </c>
    </row>
    <row r="170" spans="1:7" ht="12.75">
      <c r="A170" s="1">
        <v>42801</v>
      </c>
      <c r="B170">
        <f>+$B169+(70358)</f>
        <v>6775534.7</v>
      </c>
      <c r="C170" s="3">
        <f t="shared" si="1"/>
        <v>6.461653423309326</v>
      </c>
      <c r="E170" s="2">
        <v>30</v>
      </c>
      <c r="G170" t="s">
        <v>56</v>
      </c>
    </row>
    <row r="171" spans="1:5" ht="12.75">
      <c r="A171" s="1">
        <v>42862</v>
      </c>
      <c r="B171">
        <f>+$B170+(1385)</f>
        <v>6776919.7</v>
      </c>
      <c r="C171" s="3">
        <f t="shared" si="1"/>
        <v>6.462974262237549</v>
      </c>
      <c r="E171" s="2">
        <v>30</v>
      </c>
    </row>
    <row r="172" spans="1:7" ht="12.75">
      <c r="A172" s="1">
        <v>42863</v>
      </c>
      <c r="B172">
        <f>+$B171+(105)</f>
        <v>6777024.7</v>
      </c>
      <c r="C172" s="3">
        <f t="shared" si="1"/>
        <v>6.463074398040772</v>
      </c>
      <c r="E172" s="2">
        <v>30</v>
      </c>
      <c r="G172" t="s">
        <v>57</v>
      </c>
    </row>
    <row r="173" spans="1:7" ht="12.75">
      <c r="A173" s="1">
        <v>42866</v>
      </c>
      <c r="B173">
        <f>+$B172+(11821+6089)</f>
        <v>6794934.7</v>
      </c>
      <c r="C173" s="3">
        <f t="shared" si="1"/>
        <v>6.480154705047608</v>
      </c>
      <c r="E173" s="2">
        <v>30</v>
      </c>
      <c r="G173" t="s">
        <v>58</v>
      </c>
    </row>
    <row r="174" spans="1:5" ht="12.75">
      <c r="A174" s="1">
        <v>42881</v>
      </c>
      <c r="B174">
        <f>+$B173+(371)</f>
        <v>6795305.7</v>
      </c>
      <c r="C174" s="3">
        <f t="shared" si="1"/>
        <v>6.480508518218994</v>
      </c>
      <c r="E174" s="2">
        <v>30</v>
      </c>
    </row>
    <row r="175" spans="1:7" ht="12.75">
      <c r="A175" s="1">
        <v>42882</v>
      </c>
      <c r="B175">
        <f>+$B174+(8046)</f>
        <v>6803351.7</v>
      </c>
      <c r="C175" s="3">
        <f t="shared" si="1"/>
        <v>6.488181781768799</v>
      </c>
      <c r="E175" s="2">
        <v>30</v>
      </c>
      <c r="G175" t="s">
        <v>59</v>
      </c>
    </row>
    <row r="176" spans="1:7" ht="12.75">
      <c r="A176" s="1">
        <v>42885</v>
      </c>
      <c r="B176">
        <f>+$B175+(267473)</f>
        <v>7070824.7</v>
      </c>
      <c r="C176" s="3">
        <f t="shared" si="1"/>
        <v>6.743263912200928</v>
      </c>
      <c r="E176" s="2">
        <v>30</v>
      </c>
      <c r="G176" t="s">
        <v>60</v>
      </c>
    </row>
    <row r="177" spans="1:7" ht="12.75">
      <c r="A177" s="1">
        <v>42887</v>
      </c>
      <c r="B177">
        <f>+$B176+(127505+53726)</f>
        <v>7252055.7</v>
      </c>
      <c r="C177" s="3">
        <f t="shared" si="1"/>
        <v>6.916099262237549</v>
      </c>
      <c r="E177" s="2">
        <v>30</v>
      </c>
      <c r="G177" t="s">
        <v>61</v>
      </c>
    </row>
    <row r="178" spans="1:5" ht="12.75">
      <c r="A178" s="1">
        <v>42986</v>
      </c>
      <c r="B178">
        <f>+$B177+(0)</f>
        <v>7252055.7</v>
      </c>
      <c r="C178" s="3">
        <f t="shared" si="1"/>
        <v>6.916099262237549</v>
      </c>
      <c r="E178" s="2">
        <v>30</v>
      </c>
    </row>
    <row r="179" spans="1:7" ht="12.75">
      <c r="A179" s="1">
        <v>42987</v>
      </c>
      <c r="B179">
        <f>+$B178+(3037)</f>
        <v>7255092.7</v>
      </c>
      <c r="C179" s="3">
        <f t="shared" si="1"/>
        <v>6.918995571136475</v>
      </c>
      <c r="E179" s="2">
        <v>30</v>
      </c>
      <c r="G179" s="6" t="s">
        <v>62</v>
      </c>
    </row>
    <row r="180" spans="1:5" ht="12.75">
      <c r="A180" s="1">
        <v>42991</v>
      </c>
      <c r="B180">
        <f>+$B179+(0)</f>
        <v>7255092.7</v>
      </c>
      <c r="C180" s="3">
        <f t="shared" si="1"/>
        <v>6.918995571136475</v>
      </c>
      <c r="E180" s="2">
        <v>30</v>
      </c>
    </row>
    <row r="181" spans="1:7" ht="12.75">
      <c r="A181" s="1">
        <v>42992</v>
      </c>
      <c r="B181">
        <f>+$B180+(6735)</f>
        <v>7261827.7</v>
      </c>
      <c r="C181" s="3">
        <f t="shared" si="1"/>
        <v>6.925418567657471</v>
      </c>
      <c r="E181" s="2">
        <v>30</v>
      </c>
      <c r="G181" s="6" t="s">
        <v>63</v>
      </c>
    </row>
    <row r="182" spans="1:5" ht="12.75">
      <c r="A182" s="1">
        <v>42997</v>
      </c>
      <c r="B182">
        <f>+$B181+(0)</f>
        <v>7261827.7</v>
      </c>
      <c r="C182" s="3">
        <f t="shared" si="1"/>
        <v>6.925418567657471</v>
      </c>
      <c r="E182" s="2">
        <v>30</v>
      </c>
    </row>
    <row r="183" spans="1:7" ht="12.75">
      <c r="A183" s="1">
        <v>42999</v>
      </c>
      <c r="B183">
        <f>+$B182+(122095)</f>
        <v>7383922.7</v>
      </c>
      <c r="C183" s="3">
        <f t="shared" si="1"/>
        <v>7.041857433319092</v>
      </c>
      <c r="E183" s="2">
        <v>30</v>
      </c>
      <c r="G183" s="6" t="s">
        <v>81</v>
      </c>
    </row>
    <row r="184" spans="1:7" ht="12.75">
      <c r="A184" s="1">
        <v>43000</v>
      </c>
      <c r="B184">
        <f>+$B183+(34449)</f>
        <v>7418371.7</v>
      </c>
      <c r="C184" s="3">
        <f t="shared" si="1"/>
        <v>7.074710559844971</v>
      </c>
      <c r="E184" s="2">
        <v>30</v>
      </c>
      <c r="G184" s="6" t="s">
        <v>64</v>
      </c>
    </row>
    <row r="185" spans="1:7" ht="12.75">
      <c r="A185" s="1">
        <v>43002</v>
      </c>
      <c r="B185">
        <f>+$B184+(556650)</f>
        <v>7975021.7</v>
      </c>
      <c r="C185" s="3">
        <f t="shared" si="1"/>
        <v>7.60557336807251</v>
      </c>
      <c r="E185" s="2">
        <v>30</v>
      </c>
      <c r="G185" t="s">
        <v>66</v>
      </c>
    </row>
    <row r="186" spans="1:7" ht="12.75">
      <c r="A186" s="1">
        <v>43003</v>
      </c>
      <c r="B186">
        <f>+$B185+(23258+39651)</f>
        <v>8037930.7</v>
      </c>
      <c r="C186" s="3">
        <f t="shared" si="1"/>
        <v>7.665568065643311</v>
      </c>
      <c r="E186" s="2">
        <v>30</v>
      </c>
      <c r="G186" s="6" t="s">
        <v>65</v>
      </c>
    </row>
    <row r="187" spans="1:7" ht="12.75">
      <c r="A187" s="1">
        <v>43005</v>
      </c>
      <c r="B187">
        <f>+$B186+(296577+413)</f>
        <v>8334920.7</v>
      </c>
      <c r="C187" s="3">
        <f t="shared" si="1"/>
        <v>7.948799800872803</v>
      </c>
      <c r="E187" s="2">
        <v>30</v>
      </c>
      <c r="G187" s="6" t="s">
        <v>67</v>
      </c>
    </row>
    <row r="188" spans="1:7" ht="12.75">
      <c r="A188" s="1">
        <v>43006</v>
      </c>
      <c r="B188">
        <f>+$B187+(281474)</f>
        <v>8616394.7</v>
      </c>
      <c r="C188" s="3">
        <f t="shared" si="1"/>
        <v>8.217234325408935</v>
      </c>
      <c r="E188" s="2">
        <v>30</v>
      </c>
      <c r="G188" s="6" t="s">
        <v>68</v>
      </c>
    </row>
    <row r="189" spans="1:7" ht="12.75">
      <c r="A189" s="1">
        <v>43007</v>
      </c>
      <c r="B189">
        <f>+$B188+(82857+302)</f>
        <v>8699553.7</v>
      </c>
      <c r="C189" s="3">
        <f t="shared" si="1"/>
        <v>8.296540927886962</v>
      </c>
      <c r="E189" s="2">
        <v>30</v>
      </c>
      <c r="G189" s="6" t="s">
        <v>70</v>
      </c>
    </row>
    <row r="190" spans="1:7" ht="12.75">
      <c r="A190" s="1">
        <v>43009</v>
      </c>
      <c r="B190">
        <f>+$B189+(227353+70789)</f>
        <v>8997695.7</v>
      </c>
      <c r="C190" s="3">
        <f t="shared" si="1"/>
        <v>8.580871295928954</v>
      </c>
      <c r="E190" s="2">
        <v>30</v>
      </c>
      <c r="G190" s="6" t="s">
        <v>71</v>
      </c>
    </row>
    <row r="191" spans="1:7" ht="12.75">
      <c r="A191" s="1">
        <v>43010</v>
      </c>
      <c r="B191">
        <f>+$B190+(218846)</f>
        <v>9216541.7</v>
      </c>
      <c r="C191" s="3">
        <f t="shared" si="1"/>
        <v>8.789579105377197</v>
      </c>
      <c r="E191" s="2">
        <v>30</v>
      </c>
      <c r="G191" s="6" t="s">
        <v>72</v>
      </c>
    </row>
    <row r="192" spans="1:7" ht="12.75">
      <c r="A192" s="1">
        <v>43011</v>
      </c>
      <c r="B192">
        <f>+$B191+(238609+4883)</f>
        <v>9460033.7</v>
      </c>
      <c r="C192" s="3">
        <f t="shared" si="1"/>
        <v>9.021791172027587</v>
      </c>
      <c r="E192" s="2">
        <v>30</v>
      </c>
      <c r="G192" s="6" t="s">
        <v>73</v>
      </c>
    </row>
    <row r="193" spans="1:7" ht="12.75">
      <c r="A193" s="1">
        <v>43012</v>
      </c>
      <c r="B193">
        <f>+$B192+(113858)</f>
        <v>9573891.7</v>
      </c>
      <c r="C193" s="3">
        <f t="shared" si="1"/>
        <v>9.13037462234497</v>
      </c>
      <c r="E193" s="2">
        <v>30</v>
      </c>
      <c r="G193" s="6" t="s">
        <v>74</v>
      </c>
    </row>
    <row r="194" spans="1:7" ht="12.75">
      <c r="A194" s="1">
        <v>43013</v>
      </c>
      <c r="B194">
        <f>+$B193+(132026)</f>
        <v>9705917.7</v>
      </c>
      <c r="C194" s="3">
        <f t="shared" si="1"/>
        <v>9.256284427642822</v>
      </c>
      <c r="E194" s="2">
        <v>30</v>
      </c>
      <c r="G194" s="6" t="s">
        <v>69</v>
      </c>
    </row>
    <row r="195" spans="1:7" ht="12.75">
      <c r="A195" s="1">
        <v>43014</v>
      </c>
      <c r="B195">
        <f>+$B194+(90048)</f>
        <v>9795965.7</v>
      </c>
      <c r="C195" s="3">
        <f t="shared" si="1"/>
        <v>9.342160892486572</v>
      </c>
      <c r="E195" s="2">
        <v>30</v>
      </c>
      <c r="G195" s="6" t="s">
        <v>75</v>
      </c>
    </row>
    <row r="196" spans="1:7" ht="12.75">
      <c r="A196" s="1">
        <v>43015</v>
      </c>
      <c r="B196">
        <f>+$B195+(112453)</f>
        <v>9908418.7</v>
      </c>
      <c r="C196" s="3">
        <f t="shared" si="1"/>
        <v>9.449404430389404</v>
      </c>
      <c r="E196" s="2">
        <v>30</v>
      </c>
      <c r="G196" s="6" t="s">
        <v>69</v>
      </c>
    </row>
    <row r="197" spans="1:7" ht="12.75">
      <c r="A197" s="1">
        <v>43017</v>
      </c>
      <c r="B197">
        <f>+$B196+(257009+80843+100355+1320)</f>
        <v>10347945.7</v>
      </c>
      <c r="C197" s="3">
        <f t="shared" si="1"/>
        <v>9.868570041656493</v>
      </c>
      <c r="E197" s="2">
        <v>30</v>
      </c>
      <c r="G197" s="6" t="s">
        <v>76</v>
      </c>
    </row>
    <row r="198" spans="1:7" ht="12.75">
      <c r="A198" s="1">
        <v>43018</v>
      </c>
      <c r="B198">
        <f>+$B197+(168129+1856)</f>
        <v>10517930.7</v>
      </c>
      <c r="C198" s="3">
        <f t="shared" si="1"/>
        <v>10.03068037033081</v>
      </c>
      <c r="E198" s="2">
        <v>30</v>
      </c>
      <c r="G198" s="6" t="s">
        <v>77</v>
      </c>
    </row>
    <row r="199" spans="1:7" ht="12.75">
      <c r="A199" s="1">
        <v>43019</v>
      </c>
      <c r="B199">
        <f>+$B198+(160028)</f>
        <v>10677958.7</v>
      </c>
      <c r="C199" s="3">
        <f t="shared" si="1"/>
        <v>10.18329496383667</v>
      </c>
      <c r="E199" s="2">
        <v>30</v>
      </c>
      <c r="G199" s="6" t="s">
        <v>69</v>
      </c>
    </row>
    <row r="200" spans="1:7" ht="12.75">
      <c r="A200" s="1">
        <v>43022</v>
      </c>
      <c r="B200">
        <f>+$B199+(273005+1320)</f>
        <v>10952283.7</v>
      </c>
      <c r="C200" s="3">
        <f t="shared" si="1"/>
        <v>10.444911670684814</v>
      </c>
      <c r="E200" s="2">
        <v>30</v>
      </c>
      <c r="G200" s="6" t="s">
        <v>78</v>
      </c>
    </row>
    <row r="201" spans="1:7" ht="12.75">
      <c r="A201" s="1">
        <v>43023</v>
      </c>
      <c r="B201">
        <f>+$B200+(1508+116362)</f>
        <v>11070153.7</v>
      </c>
      <c r="C201" s="3">
        <f t="shared" si="1"/>
        <v>10.557321262359618</v>
      </c>
      <c r="E201" s="2">
        <v>30</v>
      </c>
      <c r="G201" s="6" t="s">
        <v>79</v>
      </c>
    </row>
    <row r="202" spans="1:7" ht="12.75">
      <c r="A202" s="1">
        <v>43024</v>
      </c>
      <c r="B202">
        <f>+$B201+(10312+31188+2248+21+27+451)</f>
        <v>11114400.7</v>
      </c>
      <c r="C202" s="3">
        <f t="shared" si="1"/>
        <v>10.599518489837646</v>
      </c>
      <c r="E202" s="2">
        <v>30</v>
      </c>
      <c r="G202" s="6" t="s">
        <v>80</v>
      </c>
    </row>
    <row r="203" spans="1:7" ht="12.75">
      <c r="A203" s="1">
        <v>43025</v>
      </c>
      <c r="B203">
        <f>+$B202+(5015)</f>
        <v>11119415.7</v>
      </c>
      <c r="C203" s="3">
        <f t="shared" si="1"/>
        <v>10.604301166534423</v>
      </c>
      <c r="E203" s="2">
        <v>30</v>
      </c>
      <c r="G203" s="6" t="s">
        <v>82</v>
      </c>
    </row>
    <row r="204" spans="1:7" ht="12.75">
      <c r="A204" s="1">
        <v>43026</v>
      </c>
      <c r="B204">
        <f>+$B203+(176)</f>
        <v>11119591.7</v>
      </c>
      <c r="C204" s="3">
        <f t="shared" si="1"/>
        <v>10.60446901321411</v>
      </c>
      <c r="E204" s="2">
        <v>30</v>
      </c>
      <c r="G204" t="s">
        <v>83</v>
      </c>
    </row>
    <row r="205" spans="1:7" ht="12.75">
      <c r="A205" s="1">
        <v>43028</v>
      </c>
      <c r="B205">
        <f>+$B204+(0)</f>
        <v>11119591.7</v>
      </c>
      <c r="C205" s="3">
        <f t="shared" si="1"/>
        <v>10.60446901321411</v>
      </c>
      <c r="E205" s="2">
        <v>30</v>
      </c>
      <c r="G205" s="7" t="s">
        <v>86</v>
      </c>
    </row>
    <row r="206" spans="1:7" ht="12.75">
      <c r="A206" s="1">
        <v>43029</v>
      </c>
      <c r="B206">
        <f>+$B205+(301254)</f>
        <v>11420845.7</v>
      </c>
      <c r="C206" s="3">
        <f t="shared" si="1"/>
        <v>10.891767215728759</v>
      </c>
      <c r="E206" s="2">
        <v>30</v>
      </c>
      <c r="G206" s="6" t="s">
        <v>84</v>
      </c>
    </row>
    <row r="207" spans="1:7" ht="12.75">
      <c r="A207" s="1">
        <v>43030</v>
      </c>
      <c r="B207">
        <f>+$B206+(3628)</f>
        <v>11424473.7</v>
      </c>
      <c r="C207" s="3">
        <f t="shared" si="1"/>
        <v>10.895227146148681</v>
      </c>
      <c r="E207" s="2">
        <v>30</v>
      </c>
      <c r="G207" t="s">
        <v>85</v>
      </c>
    </row>
    <row r="208" spans="1:7" ht="12.75">
      <c r="A208" s="1">
        <v>43031</v>
      </c>
      <c r="B208">
        <f>+$B207+(134800)</f>
        <v>11559273.7</v>
      </c>
      <c r="C208" s="3">
        <f t="shared" si="1"/>
        <v>11.023782444000243</v>
      </c>
      <c r="E208" s="2">
        <v>30</v>
      </c>
      <c r="G208" s="6" t="s">
        <v>84</v>
      </c>
    </row>
    <row r="209" spans="1:7" ht="12.75">
      <c r="A209" s="1">
        <v>43032</v>
      </c>
      <c r="B209">
        <f>+$B208+(100825)</f>
        <v>11660098.7</v>
      </c>
      <c r="C209" s="3">
        <f t="shared" si="1"/>
        <v>11.119936656951904</v>
      </c>
      <c r="E209" s="2">
        <v>30</v>
      </c>
      <c r="G209" s="6" t="s">
        <v>82</v>
      </c>
    </row>
    <row r="210" spans="1:7" ht="12.75">
      <c r="A210" s="1">
        <v>43033</v>
      </c>
      <c r="B210">
        <f>+$B209+(21833)</f>
        <v>11681931.7</v>
      </c>
      <c r="C210" s="3">
        <f t="shared" si="1"/>
        <v>11.140758228302001</v>
      </c>
      <c r="E210" s="2">
        <v>30</v>
      </c>
      <c r="G210" s="6" t="s">
        <v>87</v>
      </c>
    </row>
    <row r="211" spans="1:7" ht="12.75">
      <c r="A211" s="1">
        <v>43034</v>
      </c>
      <c r="B211">
        <f>+$B210+(560)</f>
        <v>11682491.7</v>
      </c>
      <c r="C211" s="3">
        <f t="shared" si="1"/>
        <v>11.141292285919189</v>
      </c>
      <c r="E211" s="2">
        <v>30</v>
      </c>
      <c r="G211" t="s">
        <v>83</v>
      </c>
    </row>
    <row r="212" spans="1:7" ht="12.75">
      <c r="A212" s="1">
        <v>43038</v>
      </c>
      <c r="B212">
        <f>+$B211+(0)</f>
        <v>11682491.7</v>
      </c>
      <c r="C212" s="3">
        <f t="shared" si="1"/>
        <v>11.141292285919189</v>
      </c>
      <c r="E212" s="2">
        <v>30</v>
      </c>
      <c r="G212" s="7" t="s">
        <v>88</v>
      </c>
    </row>
    <row r="213" spans="1:7" ht="12.75">
      <c r="A213" s="1">
        <v>43039</v>
      </c>
      <c r="B213">
        <f>+$B212+(42)</f>
        <v>11682533.7</v>
      </c>
      <c r="C213" s="3">
        <f t="shared" si="1"/>
        <v>11.141332340240478</v>
      </c>
      <c r="E213" s="2">
        <v>30</v>
      </c>
      <c r="G213" s="5" t="s">
        <v>89</v>
      </c>
    </row>
    <row r="214" spans="1:7" ht="12.75">
      <c r="A214" s="1">
        <v>43047</v>
      </c>
      <c r="B214">
        <f>+$B213+(0)</f>
        <v>11682533.7</v>
      </c>
      <c r="C214" s="3">
        <f t="shared" si="1"/>
        <v>11.141332340240478</v>
      </c>
      <c r="E214" s="2">
        <v>30</v>
      </c>
      <c r="G214" s="5"/>
    </row>
    <row r="215" spans="1:7" ht="12.75">
      <c r="A215" s="1">
        <v>43048</v>
      </c>
      <c r="B215">
        <f>+$B214+(2990)</f>
        <v>11685523.7</v>
      </c>
      <c r="C215" s="3">
        <f t="shared" si="1"/>
        <v>11.144183826446532</v>
      </c>
      <c r="E215" s="2">
        <v>30</v>
      </c>
      <c r="G215" s="5" t="s">
        <v>90</v>
      </c>
    </row>
    <row r="216" spans="1:7" ht="12.75">
      <c r="A216" s="1">
        <v>43052</v>
      </c>
      <c r="B216">
        <f>+$B215+(0)</f>
        <v>11685523.7</v>
      </c>
      <c r="C216" s="3">
        <f t="shared" si="1"/>
        <v>11.144183826446532</v>
      </c>
      <c r="E216" s="2">
        <v>30</v>
      </c>
      <c r="G216" s="5"/>
    </row>
    <row r="217" spans="1:7" ht="12.75">
      <c r="A217" s="1">
        <v>43053</v>
      </c>
      <c r="B217">
        <f>+$B216+(2367)</f>
        <v>11687890.7</v>
      </c>
      <c r="C217" s="3">
        <f t="shared" si="1"/>
        <v>11.146441173553466</v>
      </c>
      <c r="E217" s="2">
        <v>30</v>
      </c>
      <c r="G217" s="5" t="s">
        <v>91</v>
      </c>
    </row>
    <row r="218" spans="1:7" ht="12.75">
      <c r="A218" s="1">
        <v>43054</v>
      </c>
      <c r="B218">
        <f>+$B217+(0)</f>
        <v>11687890.7</v>
      </c>
      <c r="C218" s="3">
        <f t="shared" si="1"/>
        <v>11.146441173553466</v>
      </c>
      <c r="E218" s="2">
        <v>30</v>
      </c>
      <c r="G218" s="5"/>
    </row>
    <row r="219" spans="1:7" ht="12.75">
      <c r="A219" s="1">
        <v>43055</v>
      </c>
      <c r="B219">
        <f>+$B218+(153315)</f>
        <v>11841205.7</v>
      </c>
      <c r="C219" s="3">
        <f t="shared" si="1"/>
        <v>11.29265375137329</v>
      </c>
      <c r="E219" s="2">
        <v>30</v>
      </c>
      <c r="G219" s="6" t="s">
        <v>84</v>
      </c>
    </row>
    <row r="220" spans="1:7" ht="12.75">
      <c r="A220" s="1">
        <v>43056</v>
      </c>
      <c r="B220">
        <f>+$B219+(104152+30125)</f>
        <v>11975482.7</v>
      </c>
      <c r="C220" s="3">
        <f t="shared" si="1"/>
        <v>11.420710277557372</v>
      </c>
      <c r="E220" s="2">
        <v>30</v>
      </c>
      <c r="G220" s="6" t="s">
        <v>92</v>
      </c>
    </row>
    <row r="221" spans="1:7" ht="12.75">
      <c r="A221" s="1">
        <v>43057</v>
      </c>
      <c r="B221">
        <f>+$B220+(183783)</f>
        <v>12159265.7</v>
      </c>
      <c r="C221" s="3">
        <f t="shared" si="1"/>
        <v>11.595979404449462</v>
      </c>
      <c r="E221" s="2">
        <v>30</v>
      </c>
      <c r="G221" s="6" t="s">
        <v>93</v>
      </c>
    </row>
    <row r="222" spans="1:7" ht="12.75">
      <c r="A222" s="1">
        <v>43059</v>
      </c>
      <c r="B222">
        <f>+$B221+(353657)</f>
        <v>12512922.7</v>
      </c>
      <c r="C222" s="3">
        <f t="shared" si="1"/>
        <v>11.933253002166747</v>
      </c>
      <c r="E222" s="2">
        <v>30</v>
      </c>
      <c r="G222" s="6" t="s">
        <v>87</v>
      </c>
    </row>
    <row r="223" spans="1:7" ht="12.75">
      <c r="A223" s="1">
        <v>43060</v>
      </c>
      <c r="B223">
        <f>+$B222+(0)</f>
        <v>12512922.7</v>
      </c>
      <c r="C223" s="3">
        <f t="shared" si="1"/>
        <v>11.933253002166747</v>
      </c>
      <c r="E223" s="2">
        <v>30</v>
      </c>
      <c r="G223" s="7" t="s">
        <v>94</v>
      </c>
    </row>
    <row r="224" spans="1:7" ht="12.75">
      <c r="A224" s="1">
        <v>43061</v>
      </c>
      <c r="B224">
        <f>+$B223+(2505+8606+150846+46448)</f>
        <v>12721327.7</v>
      </c>
      <c r="C224" s="3">
        <f t="shared" si="1"/>
        <v>12.132003498077392</v>
      </c>
      <c r="E224" s="2">
        <v>30</v>
      </c>
      <c r="G224" s="6" t="s">
        <v>95</v>
      </c>
    </row>
    <row r="225" spans="1:7" ht="12.75">
      <c r="A225" s="1">
        <v>43062</v>
      </c>
      <c r="B225">
        <f>+$B224+(145838+34)</f>
        <v>12867199.7</v>
      </c>
      <c r="C225" s="3">
        <f t="shared" si="1"/>
        <v>12.271117877960204</v>
      </c>
      <c r="E225" s="2">
        <v>30</v>
      </c>
      <c r="G225" s="6" t="s">
        <v>96</v>
      </c>
    </row>
    <row r="226" spans="1:7" ht="12.75">
      <c r="A226" s="1">
        <v>43063</v>
      </c>
      <c r="B226">
        <f>+$B225+(218948)</f>
        <v>13086147.7</v>
      </c>
      <c r="C226" s="3">
        <f t="shared" si="1"/>
        <v>12.47992296218872</v>
      </c>
      <c r="E226" s="2">
        <v>30</v>
      </c>
      <c r="G226" s="6" t="s">
        <v>97</v>
      </c>
    </row>
    <row r="227" spans="1:7" ht="12.75">
      <c r="A227" s="1">
        <v>43064</v>
      </c>
      <c r="B227">
        <f>+$B226+(189454)</f>
        <v>13275601.7</v>
      </c>
      <c r="C227" s="3">
        <f t="shared" si="1"/>
        <v>12.66060037612915</v>
      </c>
      <c r="E227" s="2">
        <v>30</v>
      </c>
      <c r="G227" s="6" t="s">
        <v>98</v>
      </c>
    </row>
    <row r="228" spans="1:7" ht="12.75">
      <c r="A228" s="1">
        <v>43065</v>
      </c>
      <c r="B228">
        <f>+$B227+(146480)</f>
        <v>13422081.7</v>
      </c>
      <c r="C228" s="3">
        <f t="shared" si="1"/>
        <v>12.800294589996337</v>
      </c>
      <c r="E228" s="2">
        <v>30</v>
      </c>
      <c r="G228" s="6" t="s">
        <v>99</v>
      </c>
    </row>
    <row r="229" spans="1:7" ht="12.75">
      <c r="A229" s="1">
        <v>43066</v>
      </c>
      <c r="B229">
        <f>+$B228+(176550+15+6)</f>
        <v>13598652.7</v>
      </c>
      <c r="C229" s="3">
        <f t="shared" si="1"/>
        <v>12.968685817718505</v>
      </c>
      <c r="E229" s="2">
        <v>30</v>
      </c>
      <c r="G229" s="6" t="s">
        <v>100</v>
      </c>
    </row>
    <row r="230" spans="1:7" ht="12.75">
      <c r="A230" s="1">
        <v>43068</v>
      </c>
      <c r="B230">
        <f>+$B229+(0)</f>
        <v>13598652.7</v>
      </c>
      <c r="C230" s="3">
        <f t="shared" si="1"/>
        <v>12.968685817718505</v>
      </c>
      <c r="E230" s="2">
        <v>30</v>
      </c>
      <c r="G230" s="7" t="s">
        <v>101</v>
      </c>
    </row>
    <row r="231" spans="1:7" ht="12.75">
      <c r="A231" s="1">
        <v>43069</v>
      </c>
      <c r="B231">
        <f>+$B230+(17362+90693+3364)</f>
        <v>13710071.7</v>
      </c>
      <c r="C231" s="3">
        <f t="shared" si="1"/>
        <v>13.074943256378173</v>
      </c>
      <c r="E231" s="2">
        <v>30</v>
      </c>
      <c r="G231" t="s">
        <v>102</v>
      </c>
    </row>
    <row r="232" spans="1:7" ht="12.75">
      <c r="A232" s="1">
        <v>43070</v>
      </c>
      <c r="B232">
        <f>+$B231+(179757+3552)</f>
        <v>13893380.7</v>
      </c>
      <c r="C232" s="3">
        <f t="shared" si="1"/>
        <v>13.249760341644286</v>
      </c>
      <c r="E232" s="2">
        <v>30</v>
      </c>
      <c r="G232" s="6" t="s">
        <v>103</v>
      </c>
    </row>
    <row r="233" spans="1:7" ht="12.75">
      <c r="A233" s="1">
        <v>43071</v>
      </c>
      <c r="B233">
        <f>+$B232+(208915)</f>
        <v>14102295.7</v>
      </c>
      <c r="C233" s="3">
        <f t="shared" si="1"/>
        <v>13.448997211456298</v>
      </c>
      <c r="E233" s="2">
        <v>30</v>
      </c>
      <c r="G233" s="6" t="s">
        <v>104</v>
      </c>
    </row>
    <row r="234" spans="1:7" ht="12.75">
      <c r="A234" s="1">
        <v>43072</v>
      </c>
      <c r="B234">
        <f>+$B233+(213783+24+24+1460)</f>
        <v>14317586.7</v>
      </c>
      <c r="C234" s="3">
        <f t="shared" si="1"/>
        <v>13.654314708709716</v>
      </c>
      <c r="E234" s="2">
        <v>30</v>
      </c>
      <c r="G234" s="6" t="s">
        <v>105</v>
      </c>
    </row>
    <row r="235" spans="1:7" ht="12.75">
      <c r="A235" s="1">
        <v>43073</v>
      </c>
      <c r="B235">
        <f>+$B234+(197148+1561)</f>
        <v>14516295.7</v>
      </c>
      <c r="C235" s="3">
        <f t="shared" si="1"/>
        <v>13.843818378448486</v>
      </c>
      <c r="E235" s="2">
        <v>30</v>
      </c>
      <c r="G235" s="6" t="s">
        <v>106</v>
      </c>
    </row>
    <row r="236" spans="1:7" ht="12.75">
      <c r="A236" s="1">
        <v>43074</v>
      </c>
      <c r="B236">
        <f>+$B235+(13316)</f>
        <v>14529611.7</v>
      </c>
      <c r="C236" s="3">
        <f t="shared" si="1"/>
        <v>13.856517505645751</v>
      </c>
      <c r="E236" s="2">
        <v>30</v>
      </c>
      <c r="G236" s="6" t="s">
        <v>107</v>
      </c>
    </row>
    <row r="237" spans="1:7" ht="12.75">
      <c r="A237" s="1">
        <v>43075</v>
      </c>
      <c r="B237">
        <f>+$B236+(131320)</f>
        <v>14660931.7</v>
      </c>
      <c r="C237" s="3">
        <f t="shared" si="1"/>
        <v>13.98175401687622</v>
      </c>
      <c r="E237" s="2">
        <v>30</v>
      </c>
      <c r="G237" s="6" t="s">
        <v>108</v>
      </c>
    </row>
    <row r="238" spans="1:7" ht="12.75">
      <c r="A238" s="1">
        <v>43077</v>
      </c>
      <c r="B238">
        <f>+$B237+(245412+25660)</f>
        <v>14932003.7</v>
      </c>
      <c r="C238" s="3">
        <f t="shared" si="1"/>
        <v>14.240268421173095</v>
      </c>
      <c r="E238" s="2">
        <v>30</v>
      </c>
      <c r="G238" s="6" t="s">
        <v>109</v>
      </c>
    </row>
    <row r="239" spans="1:7" ht="12.75">
      <c r="A239" s="1">
        <v>43078</v>
      </c>
      <c r="B239">
        <f>+$B238+(23190)</f>
        <v>14955193.7</v>
      </c>
      <c r="C239" s="3">
        <f t="shared" si="1"/>
        <v>14.262384128570556</v>
      </c>
      <c r="E239" s="2">
        <v>30</v>
      </c>
      <c r="G239" s="6" t="s">
        <v>107</v>
      </c>
    </row>
    <row r="240" spans="1:7" ht="12.75">
      <c r="A240" s="1">
        <v>43080</v>
      </c>
      <c r="B240">
        <f>+$B239+(0)</f>
        <v>14955193.7</v>
      </c>
      <c r="C240" s="3">
        <f t="shared" si="1"/>
        <v>14.262384128570556</v>
      </c>
      <c r="E240" s="2">
        <v>30</v>
      </c>
      <c r="G240" s="7" t="s">
        <v>110</v>
      </c>
    </row>
    <row r="241" spans="1:7" ht="12.75">
      <c r="A241" s="1">
        <v>43081</v>
      </c>
      <c r="B241">
        <f>+$B240+(156+164610+64)</f>
        <v>15120023.7</v>
      </c>
      <c r="C241" s="3">
        <f t="shared" si="1"/>
        <v>14.419578266143798</v>
      </c>
      <c r="E241" s="2">
        <v>30</v>
      </c>
      <c r="G241" s="6" t="s">
        <v>111</v>
      </c>
    </row>
    <row r="242" spans="1:7" ht="12.75">
      <c r="A242" s="1">
        <v>43082</v>
      </c>
      <c r="B242">
        <f>+$B241+(128840+31326)</f>
        <v>15280189.7</v>
      </c>
      <c r="C242" s="3">
        <f t="shared" si="1"/>
        <v>14.572324466705322</v>
      </c>
      <c r="E242" s="2">
        <v>30</v>
      </c>
      <c r="G242" s="6" t="s">
        <v>113</v>
      </c>
    </row>
    <row r="243" spans="1:7" ht="12.75">
      <c r="A243" s="1">
        <v>43083</v>
      </c>
      <c r="B243">
        <f>+$B242+(95903+10836)</f>
        <v>15386928.7</v>
      </c>
      <c r="C243" s="3">
        <f t="shared" si="1"/>
        <v>14.674118709564208</v>
      </c>
      <c r="E243" s="2">
        <v>30</v>
      </c>
      <c r="G243" s="6" t="s">
        <v>114</v>
      </c>
    </row>
    <row r="244" spans="1:7" ht="12.75">
      <c r="A244" s="1">
        <v>43083</v>
      </c>
      <c r="B244">
        <f>+$B243+(0)</f>
        <v>15386928.7</v>
      </c>
      <c r="C244" s="3">
        <f t="shared" si="1"/>
        <v>14.674118709564208</v>
      </c>
      <c r="E244" s="2">
        <v>30</v>
      </c>
      <c r="G244" s="7" t="s">
        <v>112</v>
      </c>
    </row>
    <row r="245" spans="1:7" ht="12.75">
      <c r="A245" s="1">
        <v>43084</v>
      </c>
      <c r="B245">
        <f>+$B244+(122864+82)</f>
        <v>15509874.7</v>
      </c>
      <c r="C245" s="3">
        <f t="shared" si="1"/>
        <v>14.791369152069091</v>
      </c>
      <c r="E245" s="2">
        <v>30</v>
      </c>
      <c r="G245" s="6" t="s">
        <v>115</v>
      </c>
    </row>
    <row r="246" spans="1:7" ht="12.75">
      <c r="A246" s="1">
        <v>43086</v>
      </c>
      <c r="B246">
        <f>+$B245+(378472)</f>
        <v>15888346.7</v>
      </c>
      <c r="C246" s="3">
        <f t="shared" si="1"/>
        <v>15.152308177947997</v>
      </c>
      <c r="E246" s="2">
        <v>30</v>
      </c>
      <c r="G246" s="6" t="s">
        <v>116</v>
      </c>
    </row>
    <row r="247" spans="1:7" ht="12.75">
      <c r="A247" s="1">
        <v>43087</v>
      </c>
      <c r="B247">
        <f>+$B246+(156102+26)</f>
        <v>16044474.7</v>
      </c>
      <c r="C247" s="3">
        <f t="shared" si="1"/>
        <v>15.301203441619872</v>
      </c>
      <c r="E247" s="2">
        <v>30</v>
      </c>
      <c r="G247" s="6" t="s">
        <v>117</v>
      </c>
    </row>
    <row r="248" spans="1:7" ht="12.75">
      <c r="A248" s="1">
        <v>43088</v>
      </c>
      <c r="B248">
        <f>+$B247+(207236)</f>
        <v>16251710.7</v>
      </c>
      <c r="C248" s="3">
        <f t="shared" si="1"/>
        <v>15.498839092254638</v>
      </c>
      <c r="E248" s="2">
        <v>30</v>
      </c>
      <c r="G248" s="6" t="s">
        <v>118</v>
      </c>
    </row>
    <row r="249" spans="1:7" ht="12.75">
      <c r="A249" s="1">
        <v>43089</v>
      </c>
      <c r="B249">
        <f>+$B248+(701+40183+35439+29)</f>
        <v>16328062.7</v>
      </c>
      <c r="C249" s="3">
        <f t="shared" si="1"/>
        <v>15.571654033660888</v>
      </c>
      <c r="E249" s="2">
        <v>30</v>
      </c>
      <c r="G249" s="6" t="s">
        <v>119</v>
      </c>
    </row>
    <row r="250" spans="1:7" ht="12.75">
      <c r="A250" s="1">
        <v>43454</v>
      </c>
      <c r="B250">
        <f>B249</f>
        <v>16328062.7</v>
      </c>
      <c r="C250" s="3">
        <f t="shared" si="1"/>
        <v>15.571654033660888</v>
      </c>
      <c r="E250" s="2">
        <v>30</v>
      </c>
      <c r="G250" s="7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of Data Taken in MICE</dc:title>
  <dc:subject/>
  <dc:creator>J.J. Nebrensky</dc:creator>
  <cp:keywords/>
  <dc:description>This spreadsheet records the cumulative volume of RAW data gathered during MICE, listed both by run century and by date.</dc:description>
  <cp:lastModifiedBy>Henry Nebrensky</cp:lastModifiedBy>
  <dcterms:created xsi:type="dcterms:W3CDTF">1996-10-14T23:33:28Z</dcterms:created>
  <dcterms:modified xsi:type="dcterms:W3CDTF">2018-07-29T14:38:05Z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