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weph\Dropbox\Lab work\Microfluidics\Multi Polymer Polyplexe\Paper\Figure 4\FRET\"/>
    </mc:Choice>
  </mc:AlternateContent>
  <bookViews>
    <workbookView xWindow="0" yWindow="0" windowWidth="28800" windowHeight="12435"/>
  </bookViews>
  <sheets>
    <sheet name="FRET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9" i="1" l="1"/>
  <c r="K149" i="1"/>
  <c r="J149" i="1"/>
  <c r="I149" i="1"/>
  <c r="E149" i="1"/>
  <c r="D149" i="1"/>
  <c r="C149" i="1"/>
  <c r="B149" i="1"/>
  <c r="L148" i="1"/>
  <c r="K148" i="1"/>
  <c r="J148" i="1"/>
  <c r="I148" i="1"/>
  <c r="E148" i="1"/>
  <c r="D148" i="1"/>
  <c r="C148" i="1"/>
  <c r="B148" i="1"/>
  <c r="M147" i="1"/>
  <c r="L147" i="1"/>
  <c r="K147" i="1"/>
  <c r="J147" i="1"/>
  <c r="I147" i="1"/>
  <c r="F147" i="1"/>
  <c r="C147" i="1"/>
  <c r="L142" i="1"/>
  <c r="K142" i="1"/>
  <c r="J142" i="1"/>
  <c r="I142" i="1"/>
  <c r="E142" i="1"/>
  <c r="D142" i="1"/>
  <c r="C142" i="1"/>
  <c r="B142" i="1"/>
  <c r="L141" i="1"/>
  <c r="K141" i="1"/>
  <c r="J141" i="1"/>
  <c r="I141" i="1"/>
  <c r="E141" i="1"/>
  <c r="D141" i="1"/>
  <c r="C141" i="1"/>
  <c r="B141" i="1"/>
  <c r="M140" i="1"/>
  <c r="L140" i="1"/>
  <c r="K140" i="1"/>
  <c r="J140" i="1"/>
  <c r="I140" i="1"/>
  <c r="F140" i="1"/>
  <c r="E140" i="1"/>
  <c r="D140" i="1"/>
  <c r="C140" i="1"/>
  <c r="B140" i="1"/>
  <c r="L135" i="1"/>
  <c r="K135" i="1"/>
  <c r="J135" i="1"/>
  <c r="I135" i="1"/>
  <c r="E135" i="1"/>
  <c r="D135" i="1"/>
  <c r="C135" i="1"/>
  <c r="B135" i="1"/>
  <c r="L134" i="1"/>
  <c r="K134" i="1"/>
  <c r="J134" i="1"/>
  <c r="I134" i="1"/>
  <c r="E134" i="1"/>
  <c r="D134" i="1"/>
  <c r="C134" i="1"/>
  <c r="B134" i="1"/>
  <c r="M133" i="1"/>
  <c r="L133" i="1"/>
  <c r="K133" i="1"/>
  <c r="J133" i="1"/>
  <c r="I133" i="1"/>
  <c r="F133" i="1"/>
  <c r="E133" i="1"/>
  <c r="D133" i="1"/>
  <c r="C133" i="1"/>
  <c r="B133" i="1"/>
  <c r="E127" i="1"/>
  <c r="D127" i="1"/>
  <c r="C127" i="1"/>
  <c r="B127" i="1"/>
  <c r="E126" i="1"/>
  <c r="D126" i="1"/>
  <c r="C126" i="1"/>
  <c r="B126" i="1"/>
  <c r="F125" i="1"/>
  <c r="E125" i="1"/>
  <c r="D125" i="1"/>
  <c r="C125" i="1"/>
  <c r="B125" i="1"/>
  <c r="E120" i="1"/>
  <c r="D120" i="1"/>
  <c r="C120" i="1"/>
  <c r="B120" i="1"/>
  <c r="E119" i="1"/>
  <c r="D119" i="1"/>
  <c r="C119" i="1"/>
  <c r="B119" i="1"/>
  <c r="F118" i="1"/>
  <c r="E118" i="1"/>
  <c r="D118" i="1"/>
  <c r="C118" i="1"/>
  <c r="B118" i="1"/>
  <c r="E113" i="1"/>
  <c r="E147" i="1" s="1"/>
  <c r="D113" i="1"/>
  <c r="D147" i="1" s="1"/>
  <c r="C113" i="1"/>
  <c r="B113" i="1"/>
  <c r="B147" i="1" s="1"/>
  <c r="W112" i="1"/>
  <c r="V112" i="1"/>
  <c r="U112" i="1"/>
  <c r="E112" i="1"/>
  <c r="D112" i="1"/>
  <c r="C112" i="1"/>
  <c r="B112" i="1"/>
  <c r="W111" i="1"/>
  <c r="V111" i="1"/>
  <c r="U111" i="1"/>
  <c r="F111" i="1"/>
  <c r="E111" i="1"/>
  <c r="D111" i="1"/>
  <c r="C111" i="1"/>
  <c r="B111" i="1"/>
  <c r="X110" i="1"/>
  <c r="W110" i="1"/>
  <c r="V110" i="1"/>
  <c r="U110" i="1"/>
  <c r="W67" i="1"/>
  <c r="E67" i="1"/>
  <c r="F50" i="1" s="1"/>
  <c r="X62" i="1"/>
  <c r="U59" i="1"/>
  <c r="T59" i="1"/>
  <c r="D59" i="1"/>
  <c r="C59" i="1"/>
  <c r="X50" i="1"/>
  <c r="U47" i="1"/>
  <c r="C47" i="1"/>
  <c r="B47" i="1"/>
  <c r="X38" i="1"/>
  <c r="B36" i="1"/>
  <c r="B38" i="1" s="1"/>
  <c r="V35" i="1"/>
  <c r="V59" i="1" s="1"/>
  <c r="T35" i="1"/>
  <c r="T36" i="1" s="1"/>
  <c r="E35" i="1"/>
  <c r="C37" i="1" s="1"/>
  <c r="D35" i="1"/>
  <c r="D47" i="1" s="1"/>
  <c r="B35" i="1"/>
  <c r="B59" i="1" s="1"/>
  <c r="C34" i="1"/>
  <c r="J38" i="1" s="1"/>
  <c r="T32" i="1"/>
  <c r="D32" i="1"/>
  <c r="B32" i="1"/>
  <c r="K28" i="1"/>
  <c r="AH26" i="1"/>
  <c r="E24" i="1"/>
  <c r="D24" i="1"/>
  <c r="A24" i="1"/>
  <c r="K30" i="1" s="1"/>
  <c r="E23" i="1"/>
  <c r="D23" i="1"/>
  <c r="A23" i="1"/>
  <c r="K29" i="1" s="1"/>
  <c r="E22" i="1"/>
  <c r="D22" i="1"/>
  <c r="H12" i="1"/>
  <c r="H13" i="1" s="1"/>
  <c r="E6" i="1"/>
  <c r="T55" i="1" s="1"/>
  <c r="B60" i="1" l="1"/>
  <c r="E59" i="1"/>
  <c r="B56" i="1"/>
  <c r="V56" i="1"/>
  <c r="D44" i="1"/>
  <c r="W59" i="1"/>
  <c r="U34" i="1"/>
  <c r="E47" i="1"/>
  <c r="H38" i="1"/>
  <c r="I38" i="1" s="1"/>
  <c r="F6" i="1"/>
  <c r="G6" i="1" s="1"/>
  <c r="V31" i="1"/>
  <c r="F35" i="1"/>
  <c r="G35" i="1" s="1"/>
  <c r="W35" i="1"/>
  <c r="C36" i="1"/>
  <c r="C38" i="1" s="1"/>
  <c r="V55" i="1"/>
  <c r="D56" i="1"/>
  <c r="T56" i="1"/>
  <c r="T60" i="1"/>
  <c r="F62" i="1"/>
  <c r="H23" i="1"/>
  <c r="U31" i="1"/>
  <c r="D37" i="1"/>
  <c r="B43" i="1"/>
  <c r="V47" i="1"/>
  <c r="V43" i="1" s="1"/>
  <c r="D55" i="1"/>
  <c r="H24" i="1"/>
  <c r="C29" i="1"/>
  <c r="U29" i="1"/>
  <c r="B31" i="1"/>
  <c r="AC31" i="1"/>
  <c r="AD31" i="1" s="1"/>
  <c r="V32" i="1"/>
  <c r="B37" i="1"/>
  <c r="D43" i="1"/>
  <c r="B44" i="1"/>
  <c r="T47" i="1"/>
  <c r="B55" i="1"/>
  <c r="O55" i="1" s="1"/>
  <c r="P55" i="1" s="1"/>
  <c r="AC55" i="1"/>
  <c r="AD55" i="1" s="1"/>
  <c r="D31" i="1"/>
  <c r="B48" i="1"/>
  <c r="T26" i="1"/>
  <c r="C31" i="1"/>
  <c r="T31" i="1"/>
  <c r="F38" i="1"/>
  <c r="O43" i="1"/>
  <c r="P43" i="1" s="1"/>
  <c r="C55" i="1" l="1"/>
  <c r="O32" i="1"/>
  <c r="P32" i="1" s="1"/>
  <c r="Q32" i="1" s="1"/>
  <c r="C43" i="1"/>
  <c r="C28" i="1"/>
  <c r="U41" i="1"/>
  <c r="U53" i="1"/>
  <c r="AB38" i="1"/>
  <c r="U36" i="1"/>
  <c r="T61" i="1"/>
  <c r="U61" i="1"/>
  <c r="V61" i="1"/>
  <c r="AC57" i="1" s="1"/>
  <c r="B62" i="1"/>
  <c r="C58" i="1"/>
  <c r="C53" i="1"/>
  <c r="C41" i="1"/>
  <c r="V37" i="1"/>
  <c r="U37" i="1"/>
  <c r="T37" i="1"/>
  <c r="F59" i="1"/>
  <c r="G59" i="1" s="1"/>
  <c r="O33" i="1"/>
  <c r="C46" i="1"/>
  <c r="B50" i="1"/>
  <c r="T48" i="1"/>
  <c r="T44" i="1"/>
  <c r="W47" i="1"/>
  <c r="U58" i="1"/>
  <c r="T62" i="1"/>
  <c r="T43" i="1"/>
  <c r="AC43" i="1" s="1"/>
  <c r="AD43" i="1" s="1"/>
  <c r="C49" i="1"/>
  <c r="B49" i="1"/>
  <c r="D49" i="1"/>
  <c r="X35" i="1"/>
  <c r="Y35" i="1" s="1"/>
  <c r="O31" i="1"/>
  <c r="P31" i="1" s="1"/>
  <c r="AC32" i="1"/>
  <c r="AD32" i="1" s="1"/>
  <c r="AE32" i="1" s="1"/>
  <c r="U55" i="1"/>
  <c r="U43" i="1"/>
  <c r="U28" i="1"/>
  <c r="X59" i="1"/>
  <c r="Y59" i="1" s="1"/>
  <c r="Z62" i="1"/>
  <c r="D34" i="1"/>
  <c r="F47" i="1"/>
  <c r="G47" i="1" s="1"/>
  <c r="T38" i="1"/>
  <c r="D61" i="1"/>
  <c r="O57" i="1" s="1"/>
  <c r="B61" i="1"/>
  <c r="C61" i="1"/>
  <c r="V44" i="1"/>
  <c r="AC44" i="1" l="1"/>
  <c r="AD44" i="1" s="1"/>
  <c r="AE44" i="1" s="1"/>
  <c r="U40" i="1"/>
  <c r="V49" i="1"/>
  <c r="U49" i="1"/>
  <c r="D16" i="1" s="1"/>
  <c r="E16" i="1" s="1"/>
  <c r="F16" i="1" s="1"/>
  <c r="T49" i="1"/>
  <c r="AC45" i="1" s="1"/>
  <c r="J50" i="1"/>
  <c r="C48" i="1"/>
  <c r="H62" i="1"/>
  <c r="V34" i="1"/>
  <c r="U38" i="1"/>
  <c r="AC56" i="1"/>
  <c r="AD56" i="1" s="1"/>
  <c r="AE56" i="1" s="1"/>
  <c r="U52" i="1"/>
  <c r="D19" i="1"/>
  <c r="E19" i="1" s="1"/>
  <c r="AB62" i="1"/>
  <c r="U60" i="1"/>
  <c r="Z50" i="1"/>
  <c r="X47" i="1"/>
  <c r="Y47" i="1" s="1"/>
  <c r="Z38" i="1"/>
  <c r="AA38" i="1" s="1"/>
  <c r="AC33" i="1"/>
  <c r="O56" i="1"/>
  <c r="P56" i="1" s="1"/>
  <c r="Q56" i="1" s="1"/>
  <c r="C52" i="1"/>
  <c r="O45" i="1"/>
  <c r="D17" i="1"/>
  <c r="E17" i="1" s="1"/>
  <c r="F17" i="1" s="1"/>
  <c r="C24" i="1"/>
  <c r="F24" i="1" s="1"/>
  <c r="T50" i="1"/>
  <c r="U46" i="1"/>
  <c r="C23" i="1"/>
  <c r="F23" i="1" s="1"/>
  <c r="C22" i="1"/>
  <c r="F22" i="1" s="1"/>
  <c r="D36" i="1"/>
  <c r="D38" i="1" s="1"/>
  <c r="E34" i="1"/>
  <c r="K38" i="1" s="1"/>
  <c r="H50" i="1"/>
  <c r="D20" i="1" s="1"/>
  <c r="J62" i="1"/>
  <c r="C60" i="1"/>
  <c r="C40" i="1"/>
  <c r="O44" i="1"/>
  <c r="P44" i="1" s="1"/>
  <c r="Q44" i="1" s="1"/>
  <c r="F20" i="1" l="1"/>
  <c r="E20" i="1"/>
  <c r="C62" i="1"/>
  <c r="D58" i="1"/>
  <c r="AB50" i="1"/>
  <c r="U48" i="1"/>
  <c r="U62" i="1"/>
  <c r="V58" i="1"/>
  <c r="C50" i="1"/>
  <c r="D46" i="1"/>
  <c r="L28" i="1"/>
  <c r="M28" i="1" s="1"/>
  <c r="J22" i="1"/>
  <c r="F12" i="1" s="1"/>
  <c r="L22" i="1"/>
  <c r="N22" i="1" s="1"/>
  <c r="G22" i="1"/>
  <c r="F8" i="1" s="1"/>
  <c r="E8" i="1" s="1"/>
  <c r="F11" i="1"/>
  <c r="E11" i="1" s="1"/>
  <c r="L30" i="1"/>
  <c r="M30" i="1" s="1"/>
  <c r="I24" i="1"/>
  <c r="K24" i="1" s="1"/>
  <c r="V36" i="1"/>
  <c r="V38" i="1" s="1"/>
  <c r="W34" i="1"/>
  <c r="AC38" i="1" s="1"/>
  <c r="F10" i="1"/>
  <c r="E10" i="1" s="1"/>
  <c r="K23" i="1"/>
  <c r="M23" i="1" s="1"/>
  <c r="L29" i="1"/>
  <c r="M29" i="1" s="1"/>
  <c r="I23" i="1"/>
  <c r="L23" i="1" s="1"/>
  <c r="M24" i="1" l="1"/>
  <c r="L24" i="1"/>
  <c r="V60" i="1"/>
  <c r="V62" i="1" s="1"/>
  <c r="W58" i="1"/>
  <c r="AC62" i="1" s="1"/>
  <c r="D60" i="1"/>
  <c r="D62" i="1" s="1"/>
  <c r="E58" i="1"/>
  <c r="K62" i="1" s="1"/>
  <c r="D48" i="1"/>
  <c r="D50" i="1" s="1"/>
  <c r="E46" i="1"/>
  <c r="K50" i="1" s="1"/>
  <c r="U50" i="1"/>
  <c r="V46" i="1"/>
  <c r="V48" i="1" l="1"/>
  <c r="V50" i="1" s="1"/>
  <c r="W46" i="1"/>
  <c r="AC50" i="1" s="1"/>
</calcChain>
</file>

<file path=xl/sharedStrings.xml><?xml version="1.0" encoding="utf-8"?>
<sst xmlns="http://schemas.openxmlformats.org/spreadsheetml/2006/main" count="541" uniqueCount="166">
  <si>
    <t xml:space="preserve">FRET 991 + siRNA + Shell Microfluidics. </t>
  </si>
  <si>
    <t>1. Schritt: check ob Dye funktioniert at working concentrations</t>
  </si>
  <si>
    <t>Planung</t>
  </si>
  <si>
    <t>c siRNA = 0,025 mg/ml</t>
  </si>
  <si>
    <t>&lt;&gt;</t>
  </si>
  <si>
    <t>1</t>
  </si>
  <si>
    <t>2</t>
  </si>
  <si>
    <t>3</t>
  </si>
  <si>
    <t>4</t>
  </si>
  <si>
    <t>5</t>
  </si>
  <si>
    <t>Polymer</t>
  </si>
  <si>
    <t>m siRNA [ng]</t>
  </si>
  <si>
    <t>N/P</t>
  </si>
  <si>
    <t>c [mg/ml]</t>
  </si>
  <si>
    <t>n Pol [nmol]</t>
  </si>
  <si>
    <t>m Pol [µg]</t>
  </si>
  <si>
    <t>v Pol [µl]</t>
  </si>
  <si>
    <t>M [g/mol]</t>
  </si>
  <si>
    <t>Amines</t>
  </si>
  <si>
    <t>A</t>
  </si>
  <si>
    <t>siRNA</t>
  </si>
  <si>
    <t>MQ</t>
  </si>
  <si>
    <t>Core</t>
  </si>
  <si>
    <t>pro 1500ng siRNA</t>
  </si>
  <si>
    <t>B</t>
  </si>
  <si>
    <t>siRNA-cy5</t>
  </si>
  <si>
    <t>1223-Atto488</t>
  </si>
  <si>
    <t>1203-Atto488</t>
  </si>
  <si>
    <t/>
  </si>
  <si>
    <t>C</t>
  </si>
  <si>
    <t>Core + 1223-Atto488</t>
  </si>
  <si>
    <t>siRNA-cy5 + 1223-Atto488</t>
  </si>
  <si>
    <t>siRNA-cy5 + 1203-Atto488</t>
  </si>
  <si>
    <t>gesamt</t>
  </si>
  <si>
    <t>D</t>
  </si>
  <si>
    <t>Core-cy5</t>
  </si>
  <si>
    <t>Core-cy5 + 1223</t>
  </si>
  <si>
    <t>Core-cy5 + 1203</t>
  </si>
  <si>
    <t>Core-cy5 + 1223-Atto488</t>
  </si>
  <si>
    <t>Core-cy5 + 1203-Atto488</t>
  </si>
  <si>
    <t>Shell</t>
  </si>
  <si>
    <t>siRNA AHA1</t>
  </si>
  <si>
    <t>http://scienceprimer.com/nucleotide-molecular-weight-calculator</t>
  </si>
  <si>
    <t>siRNA AHA1 Cy5</t>
  </si>
  <si>
    <t>c [µmol/l]</t>
  </si>
  <si>
    <t>c label [µmol/l]</t>
  </si>
  <si>
    <t>Kontrolle</t>
  </si>
  <si>
    <t>nur 50% label verwendet</t>
  </si>
  <si>
    <t>Ref. Vol Shell</t>
  </si>
  <si>
    <t>Shell min [mol%]</t>
  </si>
  <si>
    <t>Dichte Ac [g*cmE-3]</t>
  </si>
  <si>
    <t>Overlap [µl]</t>
  </si>
  <si>
    <t>c final siRNA [mg/ml]</t>
  </si>
  <si>
    <t>Herstellen</t>
  </si>
  <si>
    <t>Anz. Exp.</t>
  </si>
  <si>
    <t>V / Shell [µl]</t>
  </si>
  <si>
    <t>Puffer [µl]</t>
  </si>
  <si>
    <t>Vges [µl]</t>
  </si>
  <si>
    <t>V Poly [µl]</t>
  </si>
  <si>
    <t>c Shell [mg/ml]</t>
  </si>
  <si>
    <t>V Shell [µl]</t>
  </si>
  <si>
    <t>V siRNA [µl]</t>
  </si>
  <si>
    <t>V Aceton</t>
  </si>
  <si>
    <t>V HbG [µl]</t>
  </si>
  <si>
    <t>m Ac [mg]</t>
  </si>
  <si>
    <t>HbG/2</t>
  </si>
  <si>
    <t>991 + siGFP</t>
  </si>
  <si>
    <t>Durchlauf 1</t>
  </si>
  <si>
    <t>Durchlauf 2</t>
  </si>
  <si>
    <t>soll</t>
  </si>
  <si>
    <t>ctrl</t>
  </si>
  <si>
    <t>Hand</t>
  </si>
  <si>
    <t>Vmicro [µl]</t>
  </si>
  <si>
    <t>/Spritze</t>
  </si>
  <si>
    <t>Shell [mol%]</t>
  </si>
  <si>
    <t>siRNA + 991</t>
  </si>
  <si>
    <t>siRNA + 992</t>
  </si>
  <si>
    <t>Control</t>
  </si>
  <si>
    <t>µg</t>
  </si>
  <si>
    <t>µmol</t>
  </si>
  <si>
    <t>Faktor</t>
  </si>
  <si>
    <t>mg/ml Poly</t>
  </si>
  <si>
    <t>991</t>
  </si>
  <si>
    <t>mg/ml siRNA</t>
  </si>
  <si>
    <t>Channel</t>
  </si>
  <si>
    <t>C1</t>
  </si>
  <si>
    <t>C2</t>
  </si>
  <si>
    <t>C3</t>
  </si>
  <si>
    <t>siRNA in 60µl [µg]</t>
  </si>
  <si>
    <t>Flowrate [µl/h]</t>
  </si>
  <si>
    <t>c siRNA[mg/ml]</t>
  </si>
  <si>
    <t>V [µl]</t>
  </si>
  <si>
    <t>t [min]</t>
  </si>
  <si>
    <t>V wish [µl]</t>
  </si>
  <si>
    <t>zusätzliches Volumen [µl]</t>
  </si>
  <si>
    <t>Ratio FR</t>
  </si>
  <si>
    <t>t wish[min]</t>
  </si>
  <si>
    <t>1110 [mol%]</t>
  </si>
  <si>
    <t>mg/ml</t>
  </si>
  <si>
    <t>Benötig</t>
  </si>
  <si>
    <t>GelShift</t>
  </si>
  <si>
    <t>FRET</t>
  </si>
  <si>
    <t>Puffer</t>
  </si>
  <si>
    <t>Cy5</t>
  </si>
  <si>
    <t>Excitation wavelength</t>
  </si>
  <si>
    <t>nm</t>
  </si>
  <si>
    <t>Mode</t>
  </si>
  <si>
    <t>Fluorescence Top Reading</t>
  </si>
  <si>
    <t>Excitation bandwidth</t>
  </si>
  <si>
    <t>Name</t>
  </si>
  <si>
    <t>FRET Cy5 Atto 488</t>
  </si>
  <si>
    <t>Emission wavelength</t>
  </si>
  <si>
    <t>Excitation</t>
  </si>
  <si>
    <t>Filter</t>
  </si>
  <si>
    <t>Emission bandwidth</t>
  </si>
  <si>
    <t>Gain</t>
  </si>
  <si>
    <t>Optimal</t>
  </si>
  <si>
    <t>Emission</t>
  </si>
  <si>
    <t>Atto488</t>
  </si>
  <si>
    <t>Mirror</t>
  </si>
  <si>
    <t>Dichroic 510</t>
  </si>
  <si>
    <t>Number of flashes</t>
  </si>
  <si>
    <t>Integration time</t>
  </si>
  <si>
    <t>µs</t>
  </si>
  <si>
    <t>Lag time</t>
  </si>
  <si>
    <t>Settle time</t>
  </si>
  <si>
    <t>ms</t>
  </si>
  <si>
    <t>Z-Position</t>
  </si>
  <si>
    <t>µm</t>
  </si>
  <si>
    <t>Z-Position mode</t>
  </si>
  <si>
    <t>From well</t>
  </si>
  <si>
    <t>B2</t>
  </si>
  <si>
    <t>Part of Plate</t>
  </si>
  <si>
    <t>A1-A4;B1-C3</t>
  </si>
  <si>
    <t>Start Time</t>
  </si>
  <si>
    <t>2018-06-18 11:17:55</t>
  </si>
  <si>
    <t>Belegung</t>
  </si>
  <si>
    <t>Temperature</t>
  </si>
  <si>
    <t>°C</t>
  </si>
  <si>
    <t>Core Cy5</t>
  </si>
  <si>
    <t>HbG 5% Ac</t>
  </si>
  <si>
    <t>Core + 1203</t>
  </si>
  <si>
    <t>Core + 1223</t>
  </si>
  <si>
    <t>Core + 1224</t>
  </si>
  <si>
    <t>Core Cy5 + 1203-Atto</t>
  </si>
  <si>
    <t>Core Cy5 + 1223-Atto</t>
  </si>
  <si>
    <t>Core Cy5 + 1224-Atto</t>
  </si>
  <si>
    <t>30µl/well</t>
  </si>
  <si>
    <t>--</t>
  </si>
  <si>
    <t>Cy5, Atto488</t>
  </si>
  <si>
    <t>HbG 5%Ac</t>
  </si>
  <si>
    <t>siRNA + 1203</t>
  </si>
  <si>
    <t>Cy5 0,1</t>
  </si>
  <si>
    <t>Cy5 0,01</t>
  </si>
  <si>
    <t>Cy5 0,001</t>
  </si>
  <si>
    <t>1203-Atto488 0,1</t>
  </si>
  <si>
    <t>1203-Atto488 0,01</t>
  </si>
  <si>
    <t>1203-Atto488 0,001</t>
  </si>
  <si>
    <t>15µl each</t>
  </si>
  <si>
    <t>A1 + B1</t>
  </si>
  <si>
    <t>A2 + B2</t>
  </si>
  <si>
    <t>A3 + B3</t>
  </si>
  <si>
    <t>Fluorescence / Gain</t>
  </si>
  <si>
    <t>relative to MQ</t>
  </si>
  <si>
    <t>Relative to Control</t>
  </si>
  <si>
    <t>Relative to neg. 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</si>
</sst>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0808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/>
    <xf numFmtId="0" fontId="3" fillId="3" borderId="0" xfId="1" applyFont="1" applyFill="1"/>
    <xf numFmtId="0" fontId="1" fillId="0" borderId="0" xfId="0" applyFont="1"/>
    <xf numFmtId="0" fontId="4" fillId="0" borderId="0" xfId="1" applyFont="1" applyFill="1"/>
    <xf numFmtId="0" fontId="0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 applyFont="1"/>
    <xf numFmtId="165" fontId="0" fillId="0" borderId="0" xfId="0" applyNumberFormat="1" applyFont="1"/>
    <xf numFmtId="2" fontId="0" fillId="0" borderId="0" xfId="0" applyNumberFormat="1" applyFont="1"/>
    <xf numFmtId="164" fontId="0" fillId="0" borderId="0" xfId="0" applyNumberFormat="1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164" fontId="0" fillId="0" borderId="0" xfId="0" applyNumberFormat="1"/>
    <xf numFmtId="164" fontId="0" fillId="4" borderId="0" xfId="0" applyNumberFormat="1" applyFont="1" applyFill="1"/>
    <xf numFmtId="0" fontId="5" fillId="0" borderId="0" xfId="2"/>
    <xf numFmtId="0" fontId="1" fillId="0" borderId="1" xfId="0" applyFont="1" applyBorder="1"/>
    <xf numFmtId="0" fontId="0" fillId="0" borderId="1" xfId="0" applyBorder="1"/>
    <xf numFmtId="0" fontId="1" fillId="0" borderId="1" xfId="0" applyFont="1" applyFill="1" applyBorder="1"/>
    <xf numFmtId="165" fontId="0" fillId="0" borderId="1" xfId="0" applyNumberFormat="1" applyBorder="1"/>
    <xf numFmtId="2" fontId="0" fillId="0" borderId="1" xfId="0" applyNumberFormat="1" applyBorder="1"/>
    <xf numFmtId="0" fontId="0" fillId="0" borderId="1" xfId="0" quotePrefix="1" applyBorder="1"/>
    <xf numFmtId="164" fontId="0" fillId="0" borderId="1" xfId="0" applyNumberFormat="1" applyBorder="1"/>
    <xf numFmtId="0" fontId="1" fillId="0" borderId="2" xfId="0" applyFont="1" applyFill="1" applyBorder="1"/>
    <xf numFmtId="0" fontId="0" fillId="0" borderId="2" xfId="0" applyBorder="1"/>
    <xf numFmtId="0" fontId="1" fillId="0" borderId="0" xfId="0" applyFont="1" applyFill="1" applyBorder="1"/>
    <xf numFmtId="0" fontId="1" fillId="0" borderId="1" xfId="0" quotePrefix="1" applyFont="1" applyFill="1" applyBorder="1"/>
    <xf numFmtId="0" fontId="0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5" fontId="0" fillId="0" borderId="3" xfId="0" applyNumberFormat="1" applyBorder="1"/>
    <xf numFmtId="0" fontId="0" fillId="0" borderId="0" xfId="0" applyAlignment="1"/>
    <xf numFmtId="0" fontId="1" fillId="0" borderId="0" xfId="0" applyFont="1" applyBorder="1"/>
    <xf numFmtId="0" fontId="1" fillId="0" borderId="1" xfId="0" quotePrefix="1" applyFont="1" applyBorder="1"/>
    <xf numFmtId="164" fontId="0" fillId="0" borderId="0" xfId="0" applyNumberFormat="1" applyFont="1" applyAlignment="1"/>
    <xf numFmtId="0" fontId="0" fillId="0" borderId="0" xfId="0" applyAlignment="1">
      <alignment horizontal="center" wrapText="1"/>
    </xf>
    <xf numFmtId="0" fontId="1" fillId="0" borderId="0" xfId="0" applyFont="1" applyAlignment="1"/>
    <xf numFmtId="0" fontId="0" fillId="5" borderId="4" xfId="0" applyFill="1" applyBorder="1"/>
    <xf numFmtId="165" fontId="0" fillId="0" borderId="5" xfId="0" applyNumberFormat="1" applyBorder="1"/>
    <xf numFmtId="165" fontId="0" fillId="0" borderId="6" xfId="0" applyNumberFormat="1" applyBorder="1"/>
    <xf numFmtId="165" fontId="0" fillId="0" borderId="7" xfId="0" applyNumberFormat="1" applyBorder="1"/>
    <xf numFmtId="2" fontId="0" fillId="0" borderId="8" xfId="0" applyNumberFormat="1" applyBorder="1"/>
    <xf numFmtId="2" fontId="0" fillId="5" borderId="1" xfId="0" applyNumberFormat="1" applyFill="1" applyBorder="1"/>
    <xf numFmtId="2" fontId="0" fillId="0" borderId="9" xfId="0" applyNumberFormat="1" applyBorder="1"/>
    <xf numFmtId="166" fontId="0" fillId="0" borderId="0" xfId="0" applyNumberFormat="1"/>
    <xf numFmtId="165" fontId="0" fillId="0" borderId="10" xfId="0" applyNumberFormat="1" applyBorder="1" applyAlignment="1"/>
    <xf numFmtId="165" fontId="0" fillId="0" borderId="11" xfId="0" applyNumberFormat="1" applyBorder="1" applyAlignment="1"/>
    <xf numFmtId="165" fontId="0" fillId="0" borderId="12" xfId="0" applyNumberFormat="1" applyBorder="1" applyAlignment="1"/>
    <xf numFmtId="0" fontId="0" fillId="0" borderId="7" xfId="0" applyBorder="1" applyAlignment="1"/>
    <xf numFmtId="165" fontId="0" fillId="0" borderId="4" xfId="0" applyNumberFormat="1" applyBorder="1"/>
    <xf numFmtId="0" fontId="0" fillId="5" borderId="7" xfId="0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2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1" fillId="0" borderId="0" xfId="0" applyNumberFormat="1" applyFont="1"/>
    <xf numFmtId="2" fontId="0" fillId="0" borderId="0" xfId="0" quotePrefix="1" applyNumberFormat="1"/>
    <xf numFmtId="0" fontId="1" fillId="0" borderId="0" xfId="0" applyFont="1" applyAlignment="1">
      <alignment wrapText="1"/>
    </xf>
    <xf numFmtId="165" fontId="0" fillId="5" borderId="7" xfId="0" applyNumberFormat="1" applyFill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quotePrefix="1"/>
  </cellXfs>
  <cellStyles count="3">
    <cellStyle name="Link" xfId="2" builtinId="8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FRET Shells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Cy5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FRET!$D$103:$P$104</c:f>
              <c:multiLvlStrCache>
                <c:ptCount val="13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1203</c:v>
                  </c:pt>
                  <c:pt idx="3">
                    <c:v>1223</c:v>
                  </c:pt>
                  <c:pt idx="4">
                    <c:v>1224</c:v>
                  </c:pt>
                  <c:pt idx="5">
                    <c:v>Core</c:v>
                  </c:pt>
                  <c:pt idx="6">
                    <c:v>Core + 1203</c:v>
                  </c:pt>
                  <c:pt idx="7">
                    <c:v>Core + 1223</c:v>
                  </c:pt>
                  <c:pt idx="8">
                    <c:v>Core + 1224</c:v>
                  </c:pt>
                  <c:pt idx="9">
                    <c:v>Core</c:v>
                  </c:pt>
                  <c:pt idx="10">
                    <c:v>Core + 1203</c:v>
                  </c:pt>
                  <c:pt idx="11">
                    <c:v>Core + 1223</c:v>
                  </c:pt>
                  <c:pt idx="12">
                    <c:v>Core + 1224</c:v>
                  </c:pt>
                </c:lvl>
                <c:lvl>
                  <c:pt idx="0">
                    <c:v>--</c:v>
                  </c:pt>
                  <c:pt idx="1">
                    <c:v>Cy5</c:v>
                  </c:pt>
                  <c:pt idx="2">
                    <c:v>Atto488</c:v>
                  </c:pt>
                  <c:pt idx="5">
                    <c:v>--</c:v>
                  </c:pt>
                  <c:pt idx="6">
                    <c:v>Atto488</c:v>
                  </c:pt>
                  <c:pt idx="9">
                    <c:v>Cy5</c:v>
                  </c:pt>
                  <c:pt idx="10">
                    <c:v>Cy5, Atto488</c:v>
                  </c:pt>
                </c:lvl>
              </c:multiLvlStrCache>
            </c:multiLvlStrRef>
          </c:cat>
          <c:val>
            <c:numRef>
              <c:f>(FRET!$F$77,FRET!$B$77:$E$77,FRET!$B$78:$E$78,FRET!$B$79:$E$79)</c:f>
              <c:numCache>
                <c:formatCode>General</c:formatCode>
                <c:ptCount val="13"/>
                <c:pt idx="0">
                  <c:v>57</c:v>
                </c:pt>
                <c:pt idx="1">
                  <c:v>38094</c:v>
                </c:pt>
                <c:pt idx="2">
                  <c:v>58</c:v>
                </c:pt>
                <c:pt idx="3">
                  <c:v>57</c:v>
                </c:pt>
                <c:pt idx="4">
                  <c:v>59</c:v>
                </c:pt>
                <c:pt idx="5">
                  <c:v>62</c:v>
                </c:pt>
                <c:pt idx="6">
                  <c:v>64</c:v>
                </c:pt>
                <c:pt idx="7">
                  <c:v>57</c:v>
                </c:pt>
                <c:pt idx="8">
                  <c:v>59</c:v>
                </c:pt>
                <c:pt idx="9">
                  <c:v>41742</c:v>
                </c:pt>
                <c:pt idx="10">
                  <c:v>27732</c:v>
                </c:pt>
                <c:pt idx="11">
                  <c:v>37741</c:v>
                </c:pt>
                <c:pt idx="12">
                  <c:v>48608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AE-414A-AC84-23521BCA219D}"/>
            </c:ext>
          </c:extLst>
        </c:ser>
        <c:ser>
          <c:idx val="1"/>
          <c:order val="1"/>
          <c:tx>
            <c:v>Atto488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FRET!$D$103:$P$104</c:f>
              <c:multiLvlStrCache>
                <c:ptCount val="13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1203</c:v>
                  </c:pt>
                  <c:pt idx="3">
                    <c:v>1223</c:v>
                  </c:pt>
                  <c:pt idx="4">
                    <c:v>1224</c:v>
                  </c:pt>
                  <c:pt idx="5">
                    <c:v>Core</c:v>
                  </c:pt>
                  <c:pt idx="6">
                    <c:v>Core + 1203</c:v>
                  </c:pt>
                  <c:pt idx="7">
                    <c:v>Core + 1223</c:v>
                  </c:pt>
                  <c:pt idx="8">
                    <c:v>Core + 1224</c:v>
                  </c:pt>
                  <c:pt idx="9">
                    <c:v>Core</c:v>
                  </c:pt>
                  <c:pt idx="10">
                    <c:v>Core + 1203</c:v>
                  </c:pt>
                  <c:pt idx="11">
                    <c:v>Core + 1223</c:v>
                  </c:pt>
                  <c:pt idx="12">
                    <c:v>Core + 1224</c:v>
                  </c:pt>
                </c:lvl>
                <c:lvl>
                  <c:pt idx="0">
                    <c:v>--</c:v>
                  </c:pt>
                  <c:pt idx="1">
                    <c:v>Cy5</c:v>
                  </c:pt>
                  <c:pt idx="2">
                    <c:v>Atto488</c:v>
                  </c:pt>
                  <c:pt idx="5">
                    <c:v>--</c:v>
                  </c:pt>
                  <c:pt idx="6">
                    <c:v>Atto488</c:v>
                  </c:pt>
                  <c:pt idx="9">
                    <c:v>Cy5</c:v>
                  </c:pt>
                  <c:pt idx="10">
                    <c:v>Cy5, Atto488</c:v>
                  </c:pt>
                </c:lvl>
              </c:multiLvlStrCache>
            </c:multiLvlStrRef>
          </c:cat>
          <c:val>
            <c:numRef>
              <c:f>(FRET!$F$84,FRET!$B$84:$E$84,FRET!$B$85:$E$85,FRET!$B$86:$E$86)</c:f>
              <c:numCache>
                <c:formatCode>General</c:formatCode>
                <c:ptCount val="13"/>
                <c:pt idx="0">
                  <c:v>28</c:v>
                </c:pt>
                <c:pt idx="1">
                  <c:v>47</c:v>
                </c:pt>
                <c:pt idx="2">
                  <c:v>12426</c:v>
                </c:pt>
                <c:pt idx="3">
                  <c:v>11435</c:v>
                </c:pt>
                <c:pt idx="4">
                  <c:v>46208</c:v>
                </c:pt>
                <c:pt idx="5">
                  <c:v>36</c:v>
                </c:pt>
                <c:pt idx="6">
                  <c:v>4523</c:v>
                </c:pt>
                <c:pt idx="7">
                  <c:v>1036</c:v>
                </c:pt>
                <c:pt idx="8">
                  <c:v>6644</c:v>
                </c:pt>
                <c:pt idx="9">
                  <c:v>49</c:v>
                </c:pt>
                <c:pt idx="10">
                  <c:v>7058</c:v>
                </c:pt>
                <c:pt idx="11">
                  <c:v>4933</c:v>
                </c:pt>
                <c:pt idx="12">
                  <c:v>10661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AE-414A-AC84-23521BCA219D}"/>
            </c:ext>
          </c:extLst>
        </c:ser>
        <c:ser>
          <c:idx val="2"/>
          <c:order val="2"/>
          <c:tx>
            <c:v>FRET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FRET!$D$103:$P$104</c:f>
              <c:multiLvlStrCache>
                <c:ptCount val="13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1203</c:v>
                  </c:pt>
                  <c:pt idx="3">
                    <c:v>1223</c:v>
                  </c:pt>
                  <c:pt idx="4">
                    <c:v>1224</c:v>
                  </c:pt>
                  <c:pt idx="5">
                    <c:v>Core</c:v>
                  </c:pt>
                  <c:pt idx="6">
                    <c:v>Core + 1203</c:v>
                  </c:pt>
                  <c:pt idx="7">
                    <c:v>Core + 1223</c:v>
                  </c:pt>
                  <c:pt idx="8">
                    <c:v>Core + 1224</c:v>
                  </c:pt>
                  <c:pt idx="9">
                    <c:v>Core</c:v>
                  </c:pt>
                  <c:pt idx="10">
                    <c:v>Core + 1203</c:v>
                  </c:pt>
                  <c:pt idx="11">
                    <c:v>Core + 1223</c:v>
                  </c:pt>
                  <c:pt idx="12">
                    <c:v>Core + 1224</c:v>
                  </c:pt>
                </c:lvl>
                <c:lvl>
                  <c:pt idx="0">
                    <c:v>--</c:v>
                  </c:pt>
                  <c:pt idx="1">
                    <c:v>Cy5</c:v>
                  </c:pt>
                  <c:pt idx="2">
                    <c:v>Atto488</c:v>
                  </c:pt>
                  <c:pt idx="5">
                    <c:v>--</c:v>
                  </c:pt>
                  <c:pt idx="6">
                    <c:v>Atto488</c:v>
                  </c:pt>
                  <c:pt idx="9">
                    <c:v>Cy5</c:v>
                  </c:pt>
                  <c:pt idx="10">
                    <c:v>Cy5, Atto488</c:v>
                  </c:pt>
                </c:lvl>
              </c:multiLvlStrCache>
            </c:multiLvlStrRef>
          </c:cat>
          <c:val>
            <c:numRef>
              <c:f>(FRET!$F$91,FRET!$B$91:$E$91,FRET!$B$92:$E$92,FRET!$B$93:$E$93)</c:f>
              <c:numCache>
                <c:formatCode>General</c:formatCode>
                <c:ptCount val="13"/>
                <c:pt idx="0">
                  <c:v>128</c:v>
                </c:pt>
                <c:pt idx="1">
                  <c:v>1937</c:v>
                </c:pt>
                <c:pt idx="2">
                  <c:v>1683</c:v>
                </c:pt>
                <c:pt idx="3">
                  <c:v>1598</c:v>
                </c:pt>
                <c:pt idx="4">
                  <c:v>6772</c:v>
                </c:pt>
                <c:pt idx="5">
                  <c:v>146</c:v>
                </c:pt>
                <c:pt idx="6">
                  <c:v>677</c:v>
                </c:pt>
                <c:pt idx="7">
                  <c:v>240</c:v>
                </c:pt>
                <c:pt idx="8">
                  <c:v>865</c:v>
                </c:pt>
                <c:pt idx="9">
                  <c:v>2112</c:v>
                </c:pt>
                <c:pt idx="10">
                  <c:v>24327</c:v>
                </c:pt>
                <c:pt idx="11">
                  <c:v>11609</c:v>
                </c:pt>
                <c:pt idx="12">
                  <c:v>50337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AE-414A-AC84-23521BCA2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1503984"/>
        <c:axId val="-1421507792"/>
      </c:barChart>
      <c:catAx>
        <c:axId val="-142150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1507792"/>
        <c:crosses val="autoZero"/>
        <c:auto val="1"/>
        <c:lblAlgn val="ctr"/>
        <c:lblOffset val="100"/>
        <c:noMultiLvlLbl val="0"/>
      </c:catAx>
      <c:valAx>
        <c:axId val="-142150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Fluorescence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150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FRET</a:t>
            </a:r>
            <a:r>
              <a:rPr lang="de-DE" baseline="0"/>
              <a:t> Shells </a:t>
            </a:r>
            <a:br>
              <a:rPr lang="de-DE" baseline="0"/>
            </a:br>
            <a:r>
              <a:rPr lang="de-DE" baseline="0"/>
              <a:t>(relative to Gain)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Cy5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FRET!$D$103:$P$104</c:f>
              <c:multiLvlStrCache>
                <c:ptCount val="13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1203</c:v>
                  </c:pt>
                  <c:pt idx="3">
                    <c:v>1223</c:v>
                  </c:pt>
                  <c:pt idx="4">
                    <c:v>1224</c:v>
                  </c:pt>
                  <c:pt idx="5">
                    <c:v>Core</c:v>
                  </c:pt>
                  <c:pt idx="6">
                    <c:v>Core + 1203</c:v>
                  </c:pt>
                  <c:pt idx="7">
                    <c:v>Core + 1223</c:v>
                  </c:pt>
                  <c:pt idx="8">
                    <c:v>Core + 1224</c:v>
                  </c:pt>
                  <c:pt idx="9">
                    <c:v>Core</c:v>
                  </c:pt>
                  <c:pt idx="10">
                    <c:v>Core + 1203</c:v>
                  </c:pt>
                  <c:pt idx="11">
                    <c:v>Core + 1223</c:v>
                  </c:pt>
                  <c:pt idx="12">
                    <c:v>Core + 1224</c:v>
                  </c:pt>
                </c:lvl>
                <c:lvl>
                  <c:pt idx="0">
                    <c:v>--</c:v>
                  </c:pt>
                  <c:pt idx="1">
                    <c:v>Cy5</c:v>
                  </c:pt>
                  <c:pt idx="2">
                    <c:v>Atto488</c:v>
                  </c:pt>
                  <c:pt idx="5">
                    <c:v>--</c:v>
                  </c:pt>
                  <c:pt idx="6">
                    <c:v>Atto488</c:v>
                  </c:pt>
                  <c:pt idx="9">
                    <c:v>Cy5</c:v>
                  </c:pt>
                  <c:pt idx="10">
                    <c:v>Cy5, Atto488</c:v>
                  </c:pt>
                </c:lvl>
              </c:multiLvlStrCache>
            </c:multiLvlStrRef>
          </c:cat>
          <c:val>
            <c:numRef>
              <c:f>(FRET!$F$111,FRET!$B$111:$E$111,FRET!$B$112:$E$112,FRET!$B$113:$E$113)</c:f>
              <c:numCache>
                <c:formatCode>General</c:formatCode>
                <c:ptCount val="13"/>
                <c:pt idx="0">
                  <c:v>1</c:v>
                </c:pt>
                <c:pt idx="1">
                  <c:v>668.31578947368416</c:v>
                </c:pt>
                <c:pt idx="2">
                  <c:v>1.0175438596491229</c:v>
                </c:pt>
                <c:pt idx="3">
                  <c:v>1</c:v>
                </c:pt>
                <c:pt idx="4">
                  <c:v>1.0350877192982457</c:v>
                </c:pt>
                <c:pt idx="5">
                  <c:v>1.0877192982456141</c:v>
                </c:pt>
                <c:pt idx="6">
                  <c:v>1.1228070175438596</c:v>
                </c:pt>
                <c:pt idx="7">
                  <c:v>1</c:v>
                </c:pt>
                <c:pt idx="8">
                  <c:v>1.0350877192982457</c:v>
                </c:pt>
                <c:pt idx="9">
                  <c:v>732.31578947368416</c:v>
                </c:pt>
                <c:pt idx="10">
                  <c:v>486.5263157894737</c:v>
                </c:pt>
                <c:pt idx="11">
                  <c:v>662.12280701754389</c:v>
                </c:pt>
                <c:pt idx="12">
                  <c:v>852.77192982456143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96-4477-9BE7-9DC6FC87A373}"/>
            </c:ext>
          </c:extLst>
        </c:ser>
        <c:ser>
          <c:idx val="1"/>
          <c:order val="1"/>
          <c:tx>
            <c:v>Atto 488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FRET!$D$103:$P$104</c:f>
              <c:multiLvlStrCache>
                <c:ptCount val="13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1203</c:v>
                  </c:pt>
                  <c:pt idx="3">
                    <c:v>1223</c:v>
                  </c:pt>
                  <c:pt idx="4">
                    <c:v>1224</c:v>
                  </c:pt>
                  <c:pt idx="5">
                    <c:v>Core</c:v>
                  </c:pt>
                  <c:pt idx="6">
                    <c:v>Core + 1203</c:v>
                  </c:pt>
                  <c:pt idx="7">
                    <c:v>Core + 1223</c:v>
                  </c:pt>
                  <c:pt idx="8">
                    <c:v>Core + 1224</c:v>
                  </c:pt>
                  <c:pt idx="9">
                    <c:v>Core</c:v>
                  </c:pt>
                  <c:pt idx="10">
                    <c:v>Core + 1203</c:v>
                  </c:pt>
                  <c:pt idx="11">
                    <c:v>Core + 1223</c:v>
                  </c:pt>
                  <c:pt idx="12">
                    <c:v>Core + 1224</c:v>
                  </c:pt>
                </c:lvl>
                <c:lvl>
                  <c:pt idx="0">
                    <c:v>--</c:v>
                  </c:pt>
                  <c:pt idx="1">
                    <c:v>Cy5</c:v>
                  </c:pt>
                  <c:pt idx="2">
                    <c:v>Atto488</c:v>
                  </c:pt>
                  <c:pt idx="5">
                    <c:v>--</c:v>
                  </c:pt>
                  <c:pt idx="6">
                    <c:v>Atto488</c:v>
                  </c:pt>
                  <c:pt idx="9">
                    <c:v>Cy5</c:v>
                  </c:pt>
                  <c:pt idx="10">
                    <c:v>Cy5, Atto488</c:v>
                  </c:pt>
                </c:lvl>
              </c:multiLvlStrCache>
            </c:multiLvlStrRef>
          </c:cat>
          <c:val>
            <c:numRef>
              <c:f>(FRET!$F$118,FRET!$B$118:$E$118,FRET!$B$119:$E$119,FRET!$B$120:$E$120)</c:f>
              <c:numCache>
                <c:formatCode>General</c:formatCode>
                <c:ptCount val="13"/>
                <c:pt idx="0">
                  <c:v>0.68292682926829273</c:v>
                </c:pt>
                <c:pt idx="1">
                  <c:v>1.1463414634146341</c:v>
                </c:pt>
                <c:pt idx="2">
                  <c:v>303.07317073170731</c:v>
                </c:pt>
                <c:pt idx="3">
                  <c:v>278.90243902439022</c:v>
                </c:pt>
                <c:pt idx="4">
                  <c:v>1127.0243902439024</c:v>
                </c:pt>
                <c:pt idx="5">
                  <c:v>0.87804878048780488</c:v>
                </c:pt>
                <c:pt idx="6">
                  <c:v>110.3170731707317</c:v>
                </c:pt>
                <c:pt idx="7">
                  <c:v>25.26829268292683</c:v>
                </c:pt>
                <c:pt idx="8">
                  <c:v>162.04878048780489</c:v>
                </c:pt>
                <c:pt idx="9">
                  <c:v>1.1951219512195121</c:v>
                </c:pt>
                <c:pt idx="10">
                  <c:v>172.14634146341464</c:v>
                </c:pt>
                <c:pt idx="11">
                  <c:v>120.3170731707317</c:v>
                </c:pt>
                <c:pt idx="12">
                  <c:v>260.02439024390242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96-4477-9BE7-9DC6FC87A373}"/>
            </c:ext>
          </c:extLst>
        </c:ser>
        <c:ser>
          <c:idx val="2"/>
          <c:order val="2"/>
          <c:tx>
            <c:v>FRET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FRET!$D$103:$P$104</c:f>
              <c:multiLvlStrCache>
                <c:ptCount val="13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1203</c:v>
                  </c:pt>
                  <c:pt idx="3">
                    <c:v>1223</c:v>
                  </c:pt>
                  <c:pt idx="4">
                    <c:v>1224</c:v>
                  </c:pt>
                  <c:pt idx="5">
                    <c:v>Core</c:v>
                  </c:pt>
                  <c:pt idx="6">
                    <c:v>Core + 1203</c:v>
                  </c:pt>
                  <c:pt idx="7">
                    <c:v>Core + 1223</c:v>
                  </c:pt>
                  <c:pt idx="8">
                    <c:v>Core + 1224</c:v>
                  </c:pt>
                  <c:pt idx="9">
                    <c:v>Core</c:v>
                  </c:pt>
                  <c:pt idx="10">
                    <c:v>Core + 1203</c:v>
                  </c:pt>
                  <c:pt idx="11">
                    <c:v>Core + 1223</c:v>
                  </c:pt>
                  <c:pt idx="12">
                    <c:v>Core + 1224</c:v>
                  </c:pt>
                </c:lvl>
                <c:lvl>
                  <c:pt idx="0">
                    <c:v>--</c:v>
                  </c:pt>
                  <c:pt idx="1">
                    <c:v>Cy5</c:v>
                  </c:pt>
                  <c:pt idx="2">
                    <c:v>Atto488</c:v>
                  </c:pt>
                  <c:pt idx="5">
                    <c:v>--</c:v>
                  </c:pt>
                  <c:pt idx="6">
                    <c:v>Atto488</c:v>
                  </c:pt>
                  <c:pt idx="9">
                    <c:v>Cy5</c:v>
                  </c:pt>
                  <c:pt idx="10">
                    <c:v>Cy5, Atto488</c:v>
                  </c:pt>
                </c:lvl>
              </c:multiLvlStrCache>
            </c:multiLvlStrRef>
          </c:cat>
          <c:val>
            <c:numRef>
              <c:f>(FRET!$F$125,FRET!$B$125:$E$125,FRET!$B$126:$E$126,FRET!$B$127:$E$127)</c:f>
              <c:numCache>
                <c:formatCode>General</c:formatCode>
                <c:ptCount val="13"/>
                <c:pt idx="0">
                  <c:v>2.098360655737705</c:v>
                </c:pt>
                <c:pt idx="1">
                  <c:v>31.754098360655739</c:v>
                </c:pt>
                <c:pt idx="2">
                  <c:v>27.590163934426229</c:v>
                </c:pt>
                <c:pt idx="3">
                  <c:v>26.196721311475411</c:v>
                </c:pt>
                <c:pt idx="4">
                  <c:v>111.01639344262296</c:v>
                </c:pt>
                <c:pt idx="5">
                  <c:v>2.3934426229508197</c:v>
                </c:pt>
                <c:pt idx="6">
                  <c:v>11.098360655737705</c:v>
                </c:pt>
                <c:pt idx="7">
                  <c:v>3.9344262295081966</c:v>
                </c:pt>
                <c:pt idx="8">
                  <c:v>14.180327868852459</c:v>
                </c:pt>
                <c:pt idx="9">
                  <c:v>34.622950819672134</c:v>
                </c:pt>
                <c:pt idx="10">
                  <c:v>398.80327868852459</c:v>
                </c:pt>
                <c:pt idx="11">
                  <c:v>190.31147540983608</c:v>
                </c:pt>
                <c:pt idx="12">
                  <c:v>825.19672131147536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96-4477-9BE7-9DC6FC87A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1507248"/>
        <c:axId val="-1421505616"/>
      </c:barChart>
      <c:catAx>
        <c:axId val="-142150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1505616"/>
        <c:crosses val="autoZero"/>
        <c:auto val="1"/>
        <c:lblAlgn val="ctr"/>
        <c:lblOffset val="100"/>
        <c:noMultiLvlLbl val="0"/>
      </c:catAx>
      <c:valAx>
        <c:axId val="-142150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Fluorescence / Gain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150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Relative to</a:t>
            </a:r>
            <a:r>
              <a:rPr lang="de-DE" baseline="0"/>
              <a:t> neg. Ctrl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Cy5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FRET!$D$103:$Q$104</c:f>
              <c:multiLvlStrCache>
                <c:ptCount val="14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1203</c:v>
                  </c:pt>
                  <c:pt idx="3">
                    <c:v>1223</c:v>
                  </c:pt>
                  <c:pt idx="4">
                    <c:v>1224</c:v>
                  </c:pt>
                  <c:pt idx="5">
                    <c:v>Core</c:v>
                  </c:pt>
                  <c:pt idx="6">
                    <c:v>Core + 1203</c:v>
                  </c:pt>
                  <c:pt idx="7">
                    <c:v>Core + 1223</c:v>
                  </c:pt>
                  <c:pt idx="8">
                    <c:v>Core + 1224</c:v>
                  </c:pt>
                  <c:pt idx="9">
                    <c:v>Core</c:v>
                  </c:pt>
                  <c:pt idx="10">
                    <c:v>Core + 1203</c:v>
                  </c:pt>
                  <c:pt idx="11">
                    <c:v>Core + 1223</c:v>
                  </c:pt>
                  <c:pt idx="12">
                    <c:v>Core + 1224</c:v>
                  </c:pt>
                  <c:pt idx="13">
                    <c:v>siRNA + 1203</c:v>
                  </c:pt>
                </c:lvl>
                <c:lvl>
                  <c:pt idx="0">
                    <c:v>--</c:v>
                  </c:pt>
                  <c:pt idx="1">
                    <c:v>Cy5</c:v>
                  </c:pt>
                  <c:pt idx="2">
                    <c:v>Atto488</c:v>
                  </c:pt>
                  <c:pt idx="5">
                    <c:v>--</c:v>
                  </c:pt>
                  <c:pt idx="6">
                    <c:v>Atto488</c:v>
                  </c:pt>
                  <c:pt idx="9">
                    <c:v>Cy5</c:v>
                  </c:pt>
                  <c:pt idx="10">
                    <c:v>Cy5, Atto488</c:v>
                  </c:pt>
                </c:lvl>
              </c:multiLvlStrCache>
            </c:multiLvlStrRef>
          </c:cat>
          <c:val>
            <c:numRef>
              <c:f>(FRET!$M$133,FRET!$I$133:$L$133,FRET!$I$134:$L$134,FRET!$I$135:$L$135)</c:f>
              <c:numCache>
                <c:formatCode>General</c:formatCode>
                <c:ptCount val="13"/>
                <c:pt idx="0">
                  <c:v>1</c:v>
                </c:pt>
                <c:pt idx="1">
                  <c:v>668.31578947368416</c:v>
                </c:pt>
                <c:pt idx="2">
                  <c:v>1.0175438596491229</c:v>
                </c:pt>
                <c:pt idx="3">
                  <c:v>1</c:v>
                </c:pt>
                <c:pt idx="4">
                  <c:v>1.0350877192982457</c:v>
                </c:pt>
                <c:pt idx="5">
                  <c:v>1.0877192982456141</c:v>
                </c:pt>
                <c:pt idx="6">
                  <c:v>1.1228070175438596</c:v>
                </c:pt>
                <c:pt idx="7">
                  <c:v>1</c:v>
                </c:pt>
                <c:pt idx="8">
                  <c:v>1.0350877192982457</c:v>
                </c:pt>
                <c:pt idx="9">
                  <c:v>732.31578947368416</c:v>
                </c:pt>
                <c:pt idx="10">
                  <c:v>486.5263157894737</c:v>
                </c:pt>
                <c:pt idx="11">
                  <c:v>662.12280701754389</c:v>
                </c:pt>
                <c:pt idx="12">
                  <c:v>852.77192982456143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C5-4EEA-AA60-574665A071E2}"/>
            </c:ext>
          </c:extLst>
        </c:ser>
        <c:ser>
          <c:idx val="1"/>
          <c:order val="1"/>
          <c:tx>
            <c:v>Atto488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FRET!$D$103:$Q$104</c:f>
              <c:multiLvlStrCache>
                <c:ptCount val="14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1203</c:v>
                  </c:pt>
                  <c:pt idx="3">
                    <c:v>1223</c:v>
                  </c:pt>
                  <c:pt idx="4">
                    <c:v>1224</c:v>
                  </c:pt>
                  <c:pt idx="5">
                    <c:v>Core</c:v>
                  </c:pt>
                  <c:pt idx="6">
                    <c:v>Core + 1203</c:v>
                  </c:pt>
                  <c:pt idx="7">
                    <c:v>Core + 1223</c:v>
                  </c:pt>
                  <c:pt idx="8">
                    <c:v>Core + 1224</c:v>
                  </c:pt>
                  <c:pt idx="9">
                    <c:v>Core</c:v>
                  </c:pt>
                  <c:pt idx="10">
                    <c:v>Core + 1203</c:v>
                  </c:pt>
                  <c:pt idx="11">
                    <c:v>Core + 1223</c:v>
                  </c:pt>
                  <c:pt idx="12">
                    <c:v>Core + 1224</c:v>
                  </c:pt>
                  <c:pt idx="13">
                    <c:v>siRNA + 1203</c:v>
                  </c:pt>
                </c:lvl>
                <c:lvl>
                  <c:pt idx="0">
                    <c:v>--</c:v>
                  </c:pt>
                  <c:pt idx="1">
                    <c:v>Cy5</c:v>
                  </c:pt>
                  <c:pt idx="2">
                    <c:v>Atto488</c:v>
                  </c:pt>
                  <c:pt idx="5">
                    <c:v>--</c:v>
                  </c:pt>
                  <c:pt idx="6">
                    <c:v>Atto488</c:v>
                  </c:pt>
                  <c:pt idx="9">
                    <c:v>Cy5</c:v>
                  </c:pt>
                  <c:pt idx="10">
                    <c:v>Cy5, Atto488</c:v>
                  </c:pt>
                </c:lvl>
              </c:multiLvlStrCache>
            </c:multiLvlStrRef>
          </c:cat>
          <c:val>
            <c:numRef>
              <c:f>(FRET!$M$140,FRET!$I$140:$L$140,FRET!$I$141:$L$141,FRET!$I$142:$L$142)</c:f>
              <c:numCache>
                <c:formatCode>General</c:formatCode>
                <c:ptCount val="13"/>
                <c:pt idx="0">
                  <c:v>1</c:v>
                </c:pt>
                <c:pt idx="1">
                  <c:v>1.6785714285714286</c:v>
                </c:pt>
                <c:pt idx="2">
                  <c:v>443.78571428571428</c:v>
                </c:pt>
                <c:pt idx="3">
                  <c:v>408.39285714285717</c:v>
                </c:pt>
                <c:pt idx="4">
                  <c:v>1650.2857142857142</c:v>
                </c:pt>
                <c:pt idx="5">
                  <c:v>1.2857142857142858</c:v>
                </c:pt>
                <c:pt idx="6">
                  <c:v>161.53571428571428</c:v>
                </c:pt>
                <c:pt idx="7">
                  <c:v>37</c:v>
                </c:pt>
                <c:pt idx="8">
                  <c:v>237.28571428571428</c:v>
                </c:pt>
                <c:pt idx="9">
                  <c:v>1.75</c:v>
                </c:pt>
                <c:pt idx="10">
                  <c:v>252.07142857142858</c:v>
                </c:pt>
                <c:pt idx="11">
                  <c:v>176.17857142857142</c:v>
                </c:pt>
                <c:pt idx="12">
                  <c:v>380.75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C5-4EEA-AA60-574665A071E2}"/>
            </c:ext>
          </c:extLst>
        </c:ser>
        <c:ser>
          <c:idx val="2"/>
          <c:order val="2"/>
          <c:tx>
            <c:v>FRET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FRET!$D$103:$Q$104</c:f>
              <c:multiLvlStrCache>
                <c:ptCount val="14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1203</c:v>
                  </c:pt>
                  <c:pt idx="3">
                    <c:v>1223</c:v>
                  </c:pt>
                  <c:pt idx="4">
                    <c:v>1224</c:v>
                  </c:pt>
                  <c:pt idx="5">
                    <c:v>Core</c:v>
                  </c:pt>
                  <c:pt idx="6">
                    <c:v>Core + 1203</c:v>
                  </c:pt>
                  <c:pt idx="7">
                    <c:v>Core + 1223</c:v>
                  </c:pt>
                  <c:pt idx="8">
                    <c:v>Core + 1224</c:v>
                  </c:pt>
                  <c:pt idx="9">
                    <c:v>Core</c:v>
                  </c:pt>
                  <c:pt idx="10">
                    <c:v>Core + 1203</c:v>
                  </c:pt>
                  <c:pt idx="11">
                    <c:v>Core + 1223</c:v>
                  </c:pt>
                  <c:pt idx="12">
                    <c:v>Core + 1224</c:v>
                  </c:pt>
                  <c:pt idx="13">
                    <c:v>siRNA + 1203</c:v>
                  </c:pt>
                </c:lvl>
                <c:lvl>
                  <c:pt idx="0">
                    <c:v>--</c:v>
                  </c:pt>
                  <c:pt idx="1">
                    <c:v>Cy5</c:v>
                  </c:pt>
                  <c:pt idx="2">
                    <c:v>Atto488</c:v>
                  </c:pt>
                  <c:pt idx="5">
                    <c:v>--</c:v>
                  </c:pt>
                  <c:pt idx="6">
                    <c:v>Atto488</c:v>
                  </c:pt>
                  <c:pt idx="9">
                    <c:v>Cy5</c:v>
                  </c:pt>
                  <c:pt idx="10">
                    <c:v>Cy5, Atto488</c:v>
                  </c:pt>
                </c:lvl>
              </c:multiLvlStrCache>
            </c:multiLvlStrRef>
          </c:cat>
          <c:val>
            <c:numRef>
              <c:f>(FRET!$M$147,FRET!$I$147:$L$147,FRET!$I$148:$L$148,FRET!$I$149:$L$149)</c:f>
              <c:numCache>
                <c:formatCode>General</c:formatCode>
                <c:ptCount val="13"/>
                <c:pt idx="0">
                  <c:v>1</c:v>
                </c:pt>
                <c:pt idx="1">
                  <c:v>15.1328125</c:v>
                </c:pt>
                <c:pt idx="2">
                  <c:v>13.1484375</c:v>
                </c:pt>
                <c:pt idx="3">
                  <c:v>12.484375</c:v>
                </c:pt>
                <c:pt idx="4">
                  <c:v>52.90625</c:v>
                </c:pt>
                <c:pt idx="5">
                  <c:v>1.140625</c:v>
                </c:pt>
                <c:pt idx="6">
                  <c:v>5.2890625</c:v>
                </c:pt>
                <c:pt idx="7">
                  <c:v>1.875</c:v>
                </c:pt>
                <c:pt idx="8">
                  <c:v>6.7578125</c:v>
                </c:pt>
                <c:pt idx="9">
                  <c:v>16.5</c:v>
                </c:pt>
                <c:pt idx="10">
                  <c:v>190.0546875</c:v>
                </c:pt>
                <c:pt idx="11">
                  <c:v>90.6953125</c:v>
                </c:pt>
                <c:pt idx="12">
                  <c:v>393.2578125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C5-4EEA-AA60-574665A071E2}"/>
            </c:ext>
          </c:extLst>
        </c:ser>
        <c:ser>
          <c:idx val="3"/>
          <c:order val="3"/>
          <c:tx>
            <c:v>Ctrl-FRET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(FRET!$T$107:$AF$107,FRET!$U$112)</c:f>
              <c:numCache>
                <c:formatCode>General</c:formatCode>
                <c:ptCount val="14"/>
                <c:pt idx="13">
                  <c:v>51.725742574257424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1C5-4EEA-AA60-574665A07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1501808"/>
        <c:axId val="-1421501264"/>
      </c:barChart>
      <c:catAx>
        <c:axId val="-142150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1501264"/>
        <c:crosses val="autoZero"/>
        <c:auto val="1"/>
        <c:lblAlgn val="ctr"/>
        <c:lblOffset val="100"/>
        <c:noMultiLvlLbl val="0"/>
      </c:catAx>
      <c:valAx>
        <c:axId val="-142150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Fluorescence / Neg. Ctrl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150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Relative to</a:t>
            </a:r>
            <a:r>
              <a:rPr lang="de-DE" baseline="0"/>
              <a:t> neg. Ctrl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Cy5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FRET!$D$103:$Q$104</c15:sqref>
                  </c15:fullRef>
                </c:ext>
              </c:extLst>
              <c:f>(FRET!$D$103:$D$104,FRET!$I$103:$I$104,FRET!$N$103:$Q$104)</c:f>
              <c:multiLvlStrCache>
                <c:ptCount val="5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Core + 1203</c:v>
                  </c:pt>
                  <c:pt idx="3">
                    <c:v>Core + 1223</c:v>
                  </c:pt>
                  <c:pt idx="4">
                    <c:v>siRNA + 1203</c:v>
                  </c:pt>
                </c:lvl>
                <c:lvl>
                  <c:pt idx="0">
                    <c:v>--</c:v>
                  </c:pt>
                  <c:pt idx="1">
                    <c:v>--</c:v>
                  </c:pt>
                  <c:pt idx="2">
                    <c:v>Cy5, Atto488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(FRET!$M$133,FRET!$I$133:$L$133,FRET!$I$134:$L$134,FRET!$I$135:$L$135)</c15:sqref>
                  </c15:fullRef>
                </c:ext>
              </c:extLst>
              <c:f>(FRET!$M$133,FRET!$I$134,FRET!$J$135:$K$135)</c:f>
              <c:numCache>
                <c:formatCode>General</c:formatCode>
                <c:ptCount val="4"/>
                <c:pt idx="0">
                  <c:v>1</c:v>
                </c:pt>
                <c:pt idx="1">
                  <c:v>1.0877192982456141</c:v>
                </c:pt>
                <c:pt idx="2">
                  <c:v>486.5263157894737</c:v>
                </c:pt>
                <c:pt idx="3">
                  <c:v>662.12280701754389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1C-4D05-B6F2-43ACA49CC3A6}"/>
            </c:ext>
          </c:extLst>
        </c:ser>
        <c:ser>
          <c:idx val="1"/>
          <c:order val="1"/>
          <c:tx>
            <c:v>Atto488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FRET!$D$103:$Q$104</c15:sqref>
                  </c15:fullRef>
                </c:ext>
              </c:extLst>
              <c:f>(FRET!$D$103:$D$104,FRET!$I$103:$I$104,FRET!$N$103:$Q$104)</c:f>
              <c:multiLvlStrCache>
                <c:ptCount val="5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Core + 1203</c:v>
                  </c:pt>
                  <c:pt idx="3">
                    <c:v>Core + 1223</c:v>
                  </c:pt>
                  <c:pt idx="4">
                    <c:v>siRNA + 1203</c:v>
                  </c:pt>
                </c:lvl>
                <c:lvl>
                  <c:pt idx="0">
                    <c:v>--</c:v>
                  </c:pt>
                  <c:pt idx="1">
                    <c:v>--</c:v>
                  </c:pt>
                  <c:pt idx="2">
                    <c:v>Cy5, Atto488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(FRET!$M$140,FRET!$I$140:$L$140,FRET!$I$141:$L$141,FRET!$I$142:$L$142)</c15:sqref>
                  </c15:fullRef>
                </c:ext>
              </c:extLst>
              <c:f>(FRET!$M$140,FRET!$I$141,FRET!$J$142:$K$142)</c:f>
              <c:numCache>
                <c:formatCode>General</c:formatCode>
                <c:ptCount val="4"/>
                <c:pt idx="0">
                  <c:v>1</c:v>
                </c:pt>
                <c:pt idx="1">
                  <c:v>1.2857142857142858</c:v>
                </c:pt>
                <c:pt idx="2">
                  <c:v>252.07142857142858</c:v>
                </c:pt>
                <c:pt idx="3">
                  <c:v>176.17857142857142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A1C-4D05-B6F2-43ACA49CC3A6}"/>
            </c:ext>
          </c:extLst>
        </c:ser>
        <c:ser>
          <c:idx val="2"/>
          <c:order val="2"/>
          <c:tx>
            <c:v>FRET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FRET!$D$103:$Q$104</c15:sqref>
                  </c15:fullRef>
                </c:ext>
              </c:extLst>
              <c:f>(FRET!$D$103:$D$104,FRET!$I$103:$I$104,FRET!$N$103:$Q$104)</c:f>
              <c:multiLvlStrCache>
                <c:ptCount val="5"/>
                <c:lvl>
                  <c:pt idx="0">
                    <c:v>HbG 5%Ac</c:v>
                  </c:pt>
                  <c:pt idx="1">
                    <c:v>Core</c:v>
                  </c:pt>
                  <c:pt idx="2">
                    <c:v>Core + 1203</c:v>
                  </c:pt>
                  <c:pt idx="3">
                    <c:v>Core + 1223</c:v>
                  </c:pt>
                  <c:pt idx="4">
                    <c:v>siRNA + 1203</c:v>
                  </c:pt>
                </c:lvl>
                <c:lvl>
                  <c:pt idx="0">
                    <c:v>--</c:v>
                  </c:pt>
                  <c:pt idx="1">
                    <c:v>--</c:v>
                  </c:pt>
                  <c:pt idx="2">
                    <c:v>Cy5, Atto488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(FRET!$I$147:$M$147,FRET!$I$148:$L$148,FRET!$I$149:$L$149,FRET!$V$112)</c15:sqref>
                  </c15:fullRef>
                </c:ext>
              </c:extLst>
              <c:f>(FRET!$I$147,FRET!$I$148,FRET!$J$149:$K$149,FRET!$V$112)</c:f>
              <c:numCache>
                <c:formatCode>General</c:formatCode>
                <c:ptCount val="5"/>
                <c:pt idx="0">
                  <c:v>15.1328125</c:v>
                </c:pt>
                <c:pt idx="1">
                  <c:v>1.140625</c:v>
                </c:pt>
                <c:pt idx="2">
                  <c:v>190.0546875</c:v>
                </c:pt>
                <c:pt idx="3">
                  <c:v>90.6953125</c:v>
                </c:pt>
                <c:pt idx="4">
                  <c:v>4.6059405940594056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A1C-4D05-B6F2-43ACA49CC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0832080"/>
        <c:axId val="-1420829360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v>Ctrl-FRET</c:v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ullRef>
                          <c15:sqref>(FRET!$T$107:$AF$107,FRET!$U$112)</c15:sqref>
                        </c15:fullRef>
                        <c15:formulaRef>
                          <c15:sqref>(FRET!$T$107,FRET!$Y$107,FRET!$AD$107:$AE$107,FRET!$U$112)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4">
                        <c:v>51.725742574257424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8A1C-4D05-B6F2-43ACA49CC3A6}"/>
                  </c:ext>
                </c:extLst>
              </c15:ser>
            </c15:filteredBarSeries>
          </c:ext>
        </c:extLst>
      </c:barChart>
      <c:catAx>
        <c:axId val="-142083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829360"/>
        <c:crosses val="autoZero"/>
        <c:auto val="1"/>
        <c:lblAlgn val="ctr"/>
        <c:lblOffset val="100"/>
        <c:noMultiLvlLbl val="0"/>
      </c:catAx>
      <c:valAx>
        <c:axId val="-1420829360"/>
        <c:scaling>
          <c:orientation val="minMax"/>
          <c:max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Fluorescence / Neg. Ctrl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83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Relative to</a:t>
            </a:r>
            <a:r>
              <a:rPr lang="de-DE" baseline="0"/>
              <a:t> neg. Ctrl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Cy5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FRET!$D$103:$Q$104</c15:sqref>
                  </c15:fullRef>
                </c:ext>
              </c:extLst>
              <c:f>FRET!$E$103:$Q$104</c:f>
              <c:multiLvlStrCache>
                <c:ptCount val="5"/>
                <c:lvl>
                  <c:pt idx="0">
                    <c:v>Core</c:v>
                  </c:pt>
                  <c:pt idx="1">
                    <c:v>1203</c:v>
                  </c:pt>
                  <c:pt idx="2">
                    <c:v>1223</c:v>
                  </c:pt>
                  <c:pt idx="3">
                    <c:v>Core + 1203</c:v>
                  </c:pt>
                  <c:pt idx="4">
                    <c:v>Core + 1223</c:v>
                  </c:pt>
                  <c:pt idx="5">
                    <c:v>siRNA + 1203</c:v>
                  </c:pt>
                </c:lvl>
                <c:lvl>
                  <c:pt idx="0">
                    <c:v>Cy5</c:v>
                  </c:pt>
                  <c:pt idx="1">
                    <c:v>Atto488</c:v>
                  </c:pt>
                  <c:pt idx="3">
                    <c:v>Atto488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(FRET!$M$133,FRET!$I$133:$L$133,FRET!$I$134:$L$134,FRET!$I$135:$L$135)</c15:sqref>
                  </c15:fullRef>
                </c:ext>
              </c:extLst>
              <c:f>(FRET!$I$133:$K$133,FRET!$J$134:$K$134)</c:f>
              <c:numCache>
                <c:formatCode>General</c:formatCode>
                <c:ptCount val="5"/>
                <c:pt idx="0">
                  <c:v>668.31578947368416</c:v>
                </c:pt>
                <c:pt idx="1">
                  <c:v>1.0175438596491229</c:v>
                </c:pt>
                <c:pt idx="2">
                  <c:v>1</c:v>
                </c:pt>
                <c:pt idx="3">
                  <c:v>1.1228070175438596</c:v>
                </c:pt>
                <c:pt idx="4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29-45DA-8AD9-E477548DE281}"/>
            </c:ext>
          </c:extLst>
        </c:ser>
        <c:ser>
          <c:idx val="1"/>
          <c:order val="1"/>
          <c:tx>
            <c:v>Atto488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FRET!$D$103:$Q$104</c15:sqref>
                  </c15:fullRef>
                </c:ext>
              </c:extLst>
              <c:f>FRET!$E$103:$Q$104</c:f>
              <c:multiLvlStrCache>
                <c:ptCount val="5"/>
                <c:lvl>
                  <c:pt idx="0">
                    <c:v>Core</c:v>
                  </c:pt>
                  <c:pt idx="1">
                    <c:v>1203</c:v>
                  </c:pt>
                  <c:pt idx="2">
                    <c:v>1223</c:v>
                  </c:pt>
                  <c:pt idx="3">
                    <c:v>Core + 1203</c:v>
                  </c:pt>
                  <c:pt idx="4">
                    <c:v>Core + 1223</c:v>
                  </c:pt>
                  <c:pt idx="5">
                    <c:v>siRNA + 1203</c:v>
                  </c:pt>
                </c:lvl>
                <c:lvl>
                  <c:pt idx="0">
                    <c:v>Cy5</c:v>
                  </c:pt>
                  <c:pt idx="1">
                    <c:v>Atto488</c:v>
                  </c:pt>
                  <c:pt idx="3">
                    <c:v>Atto488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(FRET!$M$140,FRET!$I$140:$L$140,FRET!$I$141:$L$141,FRET!$I$142:$L$142)</c15:sqref>
                  </c15:fullRef>
                </c:ext>
              </c:extLst>
              <c:f>(FRET!$I$140:$K$140,FRET!$J$141:$K$141)</c:f>
              <c:numCache>
                <c:formatCode>General</c:formatCode>
                <c:ptCount val="5"/>
                <c:pt idx="0">
                  <c:v>1.6785714285714286</c:v>
                </c:pt>
                <c:pt idx="1">
                  <c:v>443.78571428571428</c:v>
                </c:pt>
                <c:pt idx="2">
                  <c:v>408.39285714285717</c:v>
                </c:pt>
                <c:pt idx="3">
                  <c:v>161.53571428571428</c:v>
                </c:pt>
                <c:pt idx="4">
                  <c:v>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129-45DA-8AD9-E477548DE281}"/>
            </c:ext>
          </c:extLst>
        </c:ser>
        <c:ser>
          <c:idx val="2"/>
          <c:order val="2"/>
          <c:tx>
            <c:v>FRET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FRET!$D$103:$Q$104</c15:sqref>
                  </c15:fullRef>
                </c:ext>
              </c:extLst>
              <c:f>FRET!$E$103:$Q$104</c:f>
              <c:multiLvlStrCache>
                <c:ptCount val="5"/>
                <c:lvl>
                  <c:pt idx="0">
                    <c:v>Core</c:v>
                  </c:pt>
                  <c:pt idx="1">
                    <c:v>1203</c:v>
                  </c:pt>
                  <c:pt idx="2">
                    <c:v>1223</c:v>
                  </c:pt>
                  <c:pt idx="3">
                    <c:v>Core + 1203</c:v>
                  </c:pt>
                  <c:pt idx="4">
                    <c:v>Core + 1223</c:v>
                  </c:pt>
                </c:lvl>
                <c:lvl>
                  <c:pt idx="0">
                    <c:v>Cy5</c:v>
                  </c:pt>
                  <c:pt idx="1">
                    <c:v>Atto488</c:v>
                  </c:pt>
                  <c:pt idx="3">
                    <c:v>Atto488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(FRET!$I$147:$M$147,FRET!$I$148:$L$148,FRET!$I$149:$L$149,FRET!$V$112)</c15:sqref>
                  </c15:fullRef>
                </c:ext>
              </c:extLst>
              <c:f>(FRET!$J$147:$L$147,FRET!$J$148:$K$148)</c:f>
              <c:numCache>
                <c:formatCode>General</c:formatCode>
                <c:ptCount val="5"/>
                <c:pt idx="0">
                  <c:v>13.1484375</c:v>
                </c:pt>
                <c:pt idx="1">
                  <c:v>12.484375</c:v>
                </c:pt>
                <c:pt idx="2">
                  <c:v>52.90625</c:v>
                </c:pt>
                <c:pt idx="3">
                  <c:v>5.2890625</c:v>
                </c:pt>
                <c:pt idx="4">
                  <c:v>1.875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129-45DA-8AD9-E477548DE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1471744"/>
        <c:axId val="-1421470656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v>Ctrl-FRET</c:v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ullRef>
                          <c15:sqref>(FRET!$T$107:$AF$107,FRET!$U$112)</c15:sqref>
                        </c15:fullRef>
                        <c15:formulaRef>
                          <c15:sqref>(FRET!$U$107:$W$107,FRET!$Z$107:$AA$107)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B129-45DA-8AD9-E477548DE281}"/>
                  </c:ext>
                </c:extLst>
              </c15:ser>
            </c15:filteredBarSeries>
          </c:ext>
        </c:extLst>
      </c:barChart>
      <c:catAx>
        <c:axId val="-142147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1470656"/>
        <c:crosses val="autoZero"/>
        <c:auto val="1"/>
        <c:lblAlgn val="ctr"/>
        <c:lblOffset val="100"/>
        <c:noMultiLvlLbl val="0"/>
      </c:catAx>
      <c:valAx>
        <c:axId val="-142147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Fluorescence / Neg. Ctrl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1471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19049</xdr:colOff>
      <xdr:row>75</xdr:row>
      <xdr:rowOff>52386</xdr:rowOff>
    </xdr:from>
    <xdr:to>
      <xdr:col>17</xdr:col>
      <xdr:colOff>371474</xdr:colOff>
      <xdr:row>92</xdr:row>
      <xdr:rowOff>171449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4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200025</xdr:colOff>
      <xdr:row>109</xdr:row>
      <xdr:rowOff>4761</xdr:rowOff>
    </xdr:from>
    <xdr:to>
      <xdr:col>15</xdr:col>
      <xdr:colOff>238125</xdr:colOff>
      <xdr:row>125</xdr:row>
      <xdr:rowOff>142874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4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</xdr:colOff>
      <xdr:row>149</xdr:row>
      <xdr:rowOff>166687</xdr:rowOff>
    </xdr:from>
    <xdr:to>
      <xdr:col>15</xdr:col>
      <xdr:colOff>704850</xdr:colOff>
      <xdr:row>168</xdr:row>
      <xdr:rowOff>28575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00000000-0008-0000-4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150</xdr:row>
      <xdr:rowOff>0</xdr:rowOff>
    </xdr:from>
    <xdr:to>
      <xdr:col>23</xdr:col>
      <xdr:colOff>237565</xdr:colOff>
      <xdr:row>168</xdr:row>
      <xdr:rowOff>52388</xdr:rowOff>
    </xdr:to>
    <xdr:graphicFrame macro="">
      <xdr:nvGraphicFramePr>
        <xdr:cNvPr id="5" name="Diagramm 4">
          <a:extLst>
            <a:ext uri="{FF2B5EF4-FFF2-40B4-BE49-F238E27FC236}">
              <a16:creationId xmlns="" xmlns:a16="http://schemas.microsoft.com/office/drawing/2014/main" id="{2483D977-D49E-492A-B736-C28A4C1CFF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171</xdr:row>
      <xdr:rowOff>0</xdr:rowOff>
    </xdr:from>
    <xdr:to>
      <xdr:col>23</xdr:col>
      <xdr:colOff>237565</xdr:colOff>
      <xdr:row>189</xdr:row>
      <xdr:rowOff>52388</xdr:rowOff>
    </xdr:to>
    <xdr:graphicFrame macro="">
      <xdr:nvGraphicFramePr>
        <xdr:cNvPr id="6" name="Diagramm 5">
          <a:extLst>
            <a:ext uri="{FF2B5EF4-FFF2-40B4-BE49-F238E27FC236}">
              <a16:creationId xmlns="" xmlns:a16="http://schemas.microsoft.com/office/drawing/2014/main" id="{CAE79BAB-15CF-46D4-BFAB-17938AB758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weph/Dropbox/Lab%20work/Microfluidics/Multi%20Polymer%20Polyplexe/Journal%20Multi%20Polymer%20Polyplex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5.11."/>
      <sheetName val="3.1."/>
      <sheetName val="5.1."/>
      <sheetName val="9.1."/>
      <sheetName val="10.1."/>
      <sheetName val="12.1."/>
      <sheetName val="13.1."/>
      <sheetName val="16.1."/>
      <sheetName val="16.1.(2)"/>
      <sheetName val="8.2."/>
      <sheetName val="9.2."/>
      <sheetName val="13.2."/>
      <sheetName val="14.2. "/>
      <sheetName val="21.02."/>
      <sheetName val="09.03."/>
      <sheetName val="13.03."/>
      <sheetName val="14.03."/>
      <sheetName val="15.3."/>
      <sheetName val="17.3. CMC"/>
      <sheetName val="23.3."/>
      <sheetName val="31.03."/>
      <sheetName val="20.04."/>
      <sheetName val="25.04."/>
      <sheetName val="16.05."/>
      <sheetName val="22.05."/>
      <sheetName val="23.05."/>
      <sheetName val="06.06."/>
      <sheetName val="08.06."/>
      <sheetName val="13.07."/>
      <sheetName val="19.07."/>
      <sheetName val="10.08."/>
      <sheetName val="28.08."/>
      <sheetName val="31.08."/>
      <sheetName val="Vergleich 1110 Analoga"/>
      <sheetName val="11.09."/>
      <sheetName val="04.10."/>
      <sheetName val="09.10. TEM"/>
      <sheetName val="23.10."/>
      <sheetName val="TFF"/>
      <sheetName val="14.11."/>
      <sheetName val="21.11."/>
      <sheetName val="26.03."/>
      <sheetName val="16.04."/>
      <sheetName val="01.05."/>
      <sheetName val="17.05."/>
      <sheetName val="29.05."/>
      <sheetName val="30.05."/>
      <sheetName val="30.05.(2)"/>
      <sheetName val="01.06."/>
      <sheetName val="04.06."/>
      <sheetName val="04.06.(2)"/>
      <sheetName val="Comp size"/>
      <sheetName val="09.06."/>
      <sheetName val="14.06."/>
      <sheetName val="18.06."/>
      <sheetName val="24.06."/>
      <sheetName val="25.06."/>
      <sheetName val="30.06."/>
      <sheetName val="6.7."/>
      <sheetName val="7.7."/>
      <sheetName val="10.7."/>
      <sheetName val="24.07."/>
      <sheetName val="31.07."/>
      <sheetName val="07.08."/>
      <sheetName val="08.08."/>
      <sheetName val="27.08."/>
      <sheetName val="28.08c"/>
      <sheetName val="28.08m"/>
      <sheetName val="PräMod"/>
      <sheetName val="30.08."/>
      <sheetName val="s_z 991"/>
      <sheetName val="s_z 1106"/>
      <sheetName val="04.09.c"/>
      <sheetName val="11.09.c"/>
      <sheetName val="26.09.c"/>
      <sheetName val="27.09.tem"/>
      <sheetName val="16.10.c"/>
      <sheetName val="FRET"/>
      <sheetName val="23.10.c"/>
      <sheetName val="30.10.c"/>
      <sheetName val="05.11.c"/>
      <sheetName val="06.11.c"/>
      <sheetName val="16.11. t"/>
      <sheetName val="29.11. 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>
        <row r="77">
          <cell r="B77">
            <v>38094</v>
          </cell>
          <cell r="C77">
            <v>58</v>
          </cell>
          <cell r="D77">
            <v>57</v>
          </cell>
          <cell r="E77">
            <v>59</v>
          </cell>
          <cell r="F77">
            <v>57</v>
          </cell>
        </row>
        <row r="78">
          <cell r="B78">
            <v>62</v>
          </cell>
          <cell r="C78">
            <v>64</v>
          </cell>
          <cell r="D78">
            <v>57</v>
          </cell>
          <cell r="E78">
            <v>59</v>
          </cell>
        </row>
        <row r="79">
          <cell r="B79">
            <v>41742</v>
          </cell>
          <cell r="C79">
            <v>27732</v>
          </cell>
          <cell r="D79">
            <v>37741</v>
          </cell>
          <cell r="E79">
            <v>48608</v>
          </cell>
        </row>
        <row r="84">
          <cell r="B84">
            <v>47</v>
          </cell>
          <cell r="C84">
            <v>12426</v>
          </cell>
          <cell r="D84">
            <v>11435</v>
          </cell>
          <cell r="E84">
            <v>46208</v>
          </cell>
          <cell r="F84">
            <v>28</v>
          </cell>
        </row>
        <row r="85">
          <cell r="B85">
            <v>36</v>
          </cell>
          <cell r="C85">
            <v>4523</v>
          </cell>
          <cell r="D85">
            <v>1036</v>
          </cell>
          <cell r="E85">
            <v>6644</v>
          </cell>
        </row>
        <row r="86">
          <cell r="B86">
            <v>49</v>
          </cell>
          <cell r="C86">
            <v>7058</v>
          </cell>
          <cell r="D86">
            <v>4933</v>
          </cell>
          <cell r="E86">
            <v>10661</v>
          </cell>
        </row>
        <row r="91">
          <cell r="B91">
            <v>1937</v>
          </cell>
          <cell r="C91">
            <v>1683</v>
          </cell>
          <cell r="D91">
            <v>1598</v>
          </cell>
          <cell r="E91">
            <v>6772</v>
          </cell>
          <cell r="F91">
            <v>128</v>
          </cell>
        </row>
        <row r="92">
          <cell r="B92">
            <v>146</v>
          </cell>
          <cell r="C92">
            <v>677</v>
          </cell>
          <cell r="D92">
            <v>240</v>
          </cell>
          <cell r="E92">
            <v>865</v>
          </cell>
        </row>
        <row r="93">
          <cell r="B93">
            <v>2112</v>
          </cell>
          <cell r="C93">
            <v>24327</v>
          </cell>
          <cell r="D93">
            <v>11609</v>
          </cell>
          <cell r="E93">
            <v>50337</v>
          </cell>
        </row>
        <row r="103">
          <cell r="D103" t="str">
            <v>--</v>
          </cell>
          <cell r="E103" t="str">
            <v>Cy5</v>
          </cell>
          <cell r="F103" t="str">
            <v>Atto488</v>
          </cell>
          <cell r="I103" t="str">
            <v>--</v>
          </cell>
          <cell r="J103" t="str">
            <v>Atto488</v>
          </cell>
          <cell r="M103" t="str">
            <v>Cy5</v>
          </cell>
          <cell r="N103" t="str">
            <v>Cy5, Atto488</v>
          </cell>
        </row>
        <row r="104">
          <cell r="D104" t="str">
            <v>HbG 5%Ac</v>
          </cell>
          <cell r="E104" t="str">
            <v>Core</v>
          </cell>
          <cell r="F104">
            <v>1203</v>
          </cell>
          <cell r="G104">
            <v>1223</v>
          </cell>
          <cell r="H104">
            <v>1224</v>
          </cell>
          <cell r="I104" t="str">
            <v>Core</v>
          </cell>
          <cell r="J104" t="str">
            <v>Core + 1203</v>
          </cell>
          <cell r="K104" t="str">
            <v>Core + 1223</v>
          </cell>
          <cell r="L104" t="str">
            <v>Core + 1224</v>
          </cell>
          <cell r="M104" t="str">
            <v>Core</v>
          </cell>
          <cell r="N104" t="str">
            <v>Core + 1203</v>
          </cell>
          <cell r="O104" t="str">
            <v>Core + 1223</v>
          </cell>
          <cell r="P104" t="str">
            <v>Core + 1224</v>
          </cell>
          <cell r="Q104" t="str">
            <v>siRNA + 1203</v>
          </cell>
        </row>
        <row r="111">
          <cell r="B111">
            <v>668.31578947368416</v>
          </cell>
          <cell r="C111">
            <v>1.0175438596491229</v>
          </cell>
          <cell r="D111">
            <v>1</v>
          </cell>
          <cell r="E111">
            <v>1.0350877192982457</v>
          </cell>
          <cell r="F111">
            <v>1</v>
          </cell>
        </row>
        <row r="112">
          <cell r="B112">
            <v>1.0877192982456141</v>
          </cell>
          <cell r="C112">
            <v>1.1228070175438596</v>
          </cell>
          <cell r="D112">
            <v>1</v>
          </cell>
          <cell r="E112">
            <v>1.0350877192982457</v>
          </cell>
          <cell r="U112">
            <v>51.725742574257424</v>
          </cell>
          <cell r="V112">
            <v>4.6059405940594056</v>
          </cell>
        </row>
        <row r="113">
          <cell r="B113">
            <v>732.31578947368416</v>
          </cell>
          <cell r="C113">
            <v>486.5263157894737</v>
          </cell>
          <cell r="D113">
            <v>662.12280701754389</v>
          </cell>
          <cell r="E113">
            <v>852.77192982456143</v>
          </cell>
        </row>
        <row r="118">
          <cell r="B118">
            <v>1.1463414634146341</v>
          </cell>
          <cell r="C118">
            <v>303.07317073170731</v>
          </cell>
          <cell r="D118">
            <v>278.90243902439022</v>
          </cell>
          <cell r="E118">
            <v>1127.0243902439024</v>
          </cell>
          <cell r="F118">
            <v>0.68292682926829273</v>
          </cell>
        </row>
        <row r="119">
          <cell r="B119">
            <v>0.87804878048780488</v>
          </cell>
          <cell r="C119">
            <v>110.3170731707317</v>
          </cell>
          <cell r="D119">
            <v>25.26829268292683</v>
          </cell>
          <cell r="E119">
            <v>162.04878048780489</v>
          </cell>
        </row>
        <row r="120">
          <cell r="B120">
            <v>1.1951219512195121</v>
          </cell>
          <cell r="C120">
            <v>172.14634146341464</v>
          </cell>
          <cell r="D120">
            <v>120.3170731707317</v>
          </cell>
          <cell r="E120">
            <v>260.02439024390242</v>
          </cell>
        </row>
        <row r="125">
          <cell r="B125">
            <v>31.754098360655739</v>
          </cell>
          <cell r="C125">
            <v>27.590163934426229</v>
          </cell>
          <cell r="D125">
            <v>26.196721311475411</v>
          </cell>
          <cell r="E125">
            <v>111.01639344262296</v>
          </cell>
          <cell r="F125">
            <v>2.098360655737705</v>
          </cell>
        </row>
        <row r="126">
          <cell r="B126">
            <v>2.3934426229508197</v>
          </cell>
          <cell r="C126">
            <v>11.098360655737705</v>
          </cell>
          <cell r="D126">
            <v>3.9344262295081966</v>
          </cell>
          <cell r="E126">
            <v>14.180327868852459</v>
          </cell>
        </row>
        <row r="127">
          <cell r="B127">
            <v>34.622950819672134</v>
          </cell>
          <cell r="C127">
            <v>398.80327868852459</v>
          </cell>
          <cell r="D127">
            <v>190.31147540983608</v>
          </cell>
          <cell r="E127">
            <v>825.19672131147536</v>
          </cell>
        </row>
        <row r="133">
          <cell r="I133">
            <v>668.31578947368416</v>
          </cell>
          <cell r="J133">
            <v>1.0175438596491229</v>
          </cell>
          <cell r="K133">
            <v>1</v>
          </cell>
          <cell r="L133">
            <v>1.0350877192982457</v>
          </cell>
          <cell r="M133">
            <v>1</v>
          </cell>
        </row>
        <row r="134">
          <cell r="I134">
            <v>1.0877192982456141</v>
          </cell>
          <cell r="J134">
            <v>1.1228070175438596</v>
          </cell>
          <cell r="K134">
            <v>1</v>
          </cell>
          <cell r="L134">
            <v>1.0350877192982457</v>
          </cell>
        </row>
        <row r="135">
          <cell r="I135">
            <v>732.31578947368416</v>
          </cell>
          <cell r="J135">
            <v>486.5263157894737</v>
          </cell>
          <cell r="K135">
            <v>662.12280701754389</v>
          </cell>
          <cell r="L135">
            <v>852.77192982456143</v>
          </cell>
        </row>
        <row r="140">
          <cell r="I140">
            <v>1.6785714285714286</v>
          </cell>
          <cell r="J140">
            <v>443.78571428571428</v>
          </cell>
          <cell r="K140">
            <v>408.39285714285717</v>
          </cell>
          <cell r="L140">
            <v>1650.2857142857142</v>
          </cell>
          <cell r="M140">
            <v>1</v>
          </cell>
        </row>
        <row r="141">
          <cell r="I141">
            <v>1.2857142857142858</v>
          </cell>
          <cell r="J141">
            <v>161.53571428571428</v>
          </cell>
          <cell r="K141">
            <v>37</v>
          </cell>
          <cell r="L141">
            <v>237.28571428571428</v>
          </cell>
        </row>
        <row r="142">
          <cell r="I142">
            <v>1.75</v>
          </cell>
          <cell r="J142">
            <v>252.07142857142858</v>
          </cell>
          <cell r="K142">
            <v>176.17857142857142</v>
          </cell>
          <cell r="L142">
            <v>380.75</v>
          </cell>
        </row>
        <row r="147">
          <cell r="I147">
            <v>15.1328125</v>
          </cell>
          <cell r="J147">
            <v>13.1484375</v>
          </cell>
          <cell r="K147">
            <v>12.484375</v>
          </cell>
          <cell r="L147">
            <v>52.90625</v>
          </cell>
          <cell r="M147">
            <v>1</v>
          </cell>
        </row>
        <row r="148">
          <cell r="I148">
            <v>1.140625</v>
          </cell>
          <cell r="J148">
            <v>5.2890625</v>
          </cell>
          <cell r="K148">
            <v>1.875</v>
          </cell>
          <cell r="L148">
            <v>6.7578125</v>
          </cell>
        </row>
        <row r="149">
          <cell r="I149">
            <v>16.5</v>
          </cell>
          <cell r="J149">
            <v>190.0546875</v>
          </cell>
          <cell r="K149">
            <v>90.6953125</v>
          </cell>
          <cell r="L149">
            <v>393.2578125</v>
          </cell>
        </row>
      </sheetData>
      <sheetData sheetId="78"/>
      <sheetData sheetId="79"/>
      <sheetData sheetId="80"/>
      <sheetData sheetId="81"/>
      <sheetData sheetId="82"/>
      <sheetData sheetId="8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cienceprimer.com/nucleotide-molecular-weight-calcul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9"/>
  <sheetViews>
    <sheetView tabSelected="1" topLeftCell="C1" zoomScale="85" zoomScaleNormal="85" workbookViewId="0">
      <pane ySplit="1" topLeftCell="A92" activePane="bottomLeft" state="frozen"/>
      <selection pane="bottomLeft" activeCell="W171" sqref="W171"/>
    </sheetView>
  </sheetViews>
  <sheetFormatPr baseColWidth="10" defaultColWidth="11.42578125" defaultRowHeight="15" x14ac:dyDescent="0.25"/>
  <cols>
    <col min="3" max="3" width="21.140625" customWidth="1"/>
    <col min="5" max="5" width="12" bestFit="1" customWidth="1"/>
    <col min="18" max="18" width="18.42578125" customWidth="1"/>
    <col min="19" max="19" width="22.28515625" customWidth="1"/>
    <col min="20" max="20" width="23" customWidth="1"/>
  </cols>
  <sheetData>
    <row r="1" spans="1:2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21" x14ac:dyDescent="0.25">
      <c r="A2" t="s">
        <v>1</v>
      </c>
      <c r="P2" t="s">
        <v>2</v>
      </c>
      <c r="Q2" t="s">
        <v>3</v>
      </c>
    </row>
    <row r="3" spans="1:21" x14ac:dyDescent="0.25">
      <c r="P3" s="3" t="s">
        <v>4</v>
      </c>
      <c r="Q3" s="3" t="s">
        <v>5</v>
      </c>
      <c r="R3" s="3" t="s">
        <v>6</v>
      </c>
      <c r="S3" s="3" t="s">
        <v>7</v>
      </c>
      <c r="T3" s="3" t="s">
        <v>8</v>
      </c>
      <c r="U3" s="3" t="s">
        <v>9</v>
      </c>
    </row>
    <row r="4" spans="1:21" x14ac:dyDescent="0.25">
      <c r="A4" s="4" t="s">
        <v>10</v>
      </c>
      <c r="B4" s="4" t="s">
        <v>11</v>
      </c>
      <c r="C4" s="4" t="s">
        <v>12</v>
      </c>
      <c r="D4" s="4" t="s">
        <v>13</v>
      </c>
      <c r="E4" s="4" t="s">
        <v>14</v>
      </c>
      <c r="F4" s="4" t="s">
        <v>15</v>
      </c>
      <c r="G4" s="4" t="s">
        <v>16</v>
      </c>
      <c r="H4" s="4" t="s">
        <v>17</v>
      </c>
      <c r="I4" s="4" t="s">
        <v>18</v>
      </c>
      <c r="P4" s="3" t="s">
        <v>19</v>
      </c>
      <c r="Q4" s="5" t="s">
        <v>20</v>
      </c>
      <c r="R4" s="5">
        <v>1223</v>
      </c>
      <c r="S4" s="5">
        <v>991</v>
      </c>
      <c r="T4" s="5" t="s">
        <v>21</v>
      </c>
    </row>
    <row r="5" spans="1:21" x14ac:dyDescent="0.25">
      <c r="A5" s="4" t="s">
        <v>22</v>
      </c>
      <c r="B5" s="4"/>
      <c r="C5" s="4"/>
      <c r="D5" s="4"/>
      <c r="E5" s="6" t="s">
        <v>23</v>
      </c>
      <c r="F5" s="6"/>
      <c r="G5" s="4"/>
      <c r="H5" s="4"/>
      <c r="I5" s="4"/>
      <c r="P5" s="3" t="s">
        <v>24</v>
      </c>
      <c r="Q5" t="s">
        <v>25</v>
      </c>
      <c r="R5" t="s">
        <v>26</v>
      </c>
      <c r="S5" t="s">
        <v>27</v>
      </c>
      <c r="U5" s="5" t="s">
        <v>28</v>
      </c>
    </row>
    <row r="6" spans="1:21" x14ac:dyDescent="0.25">
      <c r="A6" s="7">
        <v>991</v>
      </c>
      <c r="B6" s="7">
        <v>1500</v>
      </c>
      <c r="C6" s="7">
        <v>12</v>
      </c>
      <c r="D6" s="8">
        <v>10</v>
      </c>
      <c r="E6" s="8">
        <f>0.615*B6/200*C6/I6</f>
        <v>4.2576923076923077</v>
      </c>
      <c r="F6" s="9">
        <f>E6*H6/1000</f>
        <v>15.129709615384616</v>
      </c>
      <c r="G6" s="10">
        <f>F6/D6/1000</f>
        <v>1.5129709615384617E-3</v>
      </c>
      <c r="H6" s="7">
        <v>3553.5</v>
      </c>
      <c r="I6" s="7">
        <v>13</v>
      </c>
      <c r="P6" s="3" t="s">
        <v>29</v>
      </c>
      <c r="Q6" s="5" t="s">
        <v>22</v>
      </c>
      <c r="R6" s="5" t="s">
        <v>30</v>
      </c>
      <c r="S6" t="s">
        <v>31</v>
      </c>
      <c r="T6" t="s">
        <v>32</v>
      </c>
      <c r="U6" s="5" t="s">
        <v>28</v>
      </c>
    </row>
    <row r="7" spans="1:21" x14ac:dyDescent="0.25">
      <c r="A7" s="7"/>
      <c r="B7" s="7"/>
      <c r="C7" s="7"/>
      <c r="D7" s="8"/>
      <c r="E7" s="11" t="s">
        <v>33</v>
      </c>
      <c r="F7" s="11"/>
      <c r="G7" s="10"/>
      <c r="H7" s="7"/>
      <c r="I7" s="7"/>
      <c r="P7" s="3" t="s">
        <v>34</v>
      </c>
      <c r="Q7" s="5" t="s">
        <v>35</v>
      </c>
      <c r="R7" s="5" t="s">
        <v>36</v>
      </c>
      <c r="S7" s="5" t="s">
        <v>37</v>
      </c>
      <c r="T7" s="5" t="s">
        <v>38</v>
      </c>
      <c r="U7" s="5" t="s">
        <v>39</v>
      </c>
    </row>
    <row r="8" spans="1:21" x14ac:dyDescent="0.25">
      <c r="A8" s="7">
        <v>991</v>
      </c>
      <c r="B8" s="7"/>
      <c r="C8" s="7"/>
      <c r="D8" s="8"/>
      <c r="E8" s="12">
        <f>F8/H6*1000</f>
        <v>49.099323539618268</v>
      </c>
      <c r="F8" s="13">
        <f>G22*D6</f>
        <v>174.47444619803352</v>
      </c>
      <c r="G8" s="10"/>
      <c r="H8" s="7"/>
      <c r="I8" s="7"/>
    </row>
    <row r="9" spans="1:21" x14ac:dyDescent="0.25">
      <c r="A9" s="4" t="s">
        <v>40</v>
      </c>
      <c r="B9" s="7"/>
      <c r="C9" s="7"/>
      <c r="D9" s="8"/>
      <c r="E9" s="8"/>
      <c r="F9" s="9"/>
      <c r="G9" s="10"/>
      <c r="H9" s="7"/>
      <c r="I9" s="7"/>
    </row>
    <row r="10" spans="1:21" x14ac:dyDescent="0.25">
      <c r="A10">
        <v>1203</v>
      </c>
      <c r="D10" s="14">
        <v>5</v>
      </c>
      <c r="E10" s="15">
        <f>F10/H10*1000</f>
        <v>8.6539015384615396</v>
      </c>
      <c r="F10" s="9">
        <f>F23*H23</f>
        <v>26.296264448861542</v>
      </c>
      <c r="G10" s="10"/>
      <c r="H10" s="9">
        <v>3038.66</v>
      </c>
      <c r="I10">
        <v>1</v>
      </c>
    </row>
    <row r="11" spans="1:21" x14ac:dyDescent="0.25">
      <c r="A11">
        <v>1223</v>
      </c>
      <c r="D11" s="14">
        <v>5</v>
      </c>
      <c r="E11" s="8">
        <f>F11/H11*1000</f>
        <v>8.7966356043956058</v>
      </c>
      <c r="F11" s="9">
        <f>F24*H24</f>
        <v>28.922370237336263</v>
      </c>
      <c r="H11">
        <v>3287.89</v>
      </c>
      <c r="I11">
        <v>1</v>
      </c>
    </row>
    <row r="12" spans="1:21" x14ac:dyDescent="0.25">
      <c r="A12" t="s">
        <v>41</v>
      </c>
      <c r="D12" s="14">
        <v>1</v>
      </c>
      <c r="E12" s="8"/>
      <c r="F12" s="9">
        <f>D12*J22</f>
        <v>17.297864661654135</v>
      </c>
      <c r="G12" s="10"/>
      <c r="H12">
        <f>8018.13+7675.13</f>
        <v>15693.26</v>
      </c>
      <c r="J12" s="16" t="s">
        <v>42</v>
      </c>
    </row>
    <row r="13" spans="1:21" x14ac:dyDescent="0.25">
      <c r="A13" t="s">
        <v>43</v>
      </c>
      <c r="D13" s="14"/>
      <c r="E13" s="8"/>
      <c r="F13" s="9"/>
      <c r="G13" s="10"/>
      <c r="H13">
        <f>H12+533.6+87</f>
        <v>16313.86</v>
      </c>
    </row>
    <row r="14" spans="1:21" x14ac:dyDescent="0.25">
      <c r="E14" t="s">
        <v>44</v>
      </c>
      <c r="F14" t="s">
        <v>45</v>
      </c>
    </row>
    <row r="15" spans="1:21" x14ac:dyDescent="0.25">
      <c r="A15" t="s">
        <v>46</v>
      </c>
      <c r="D15" t="s">
        <v>47</v>
      </c>
    </row>
    <row r="16" spans="1:21" x14ac:dyDescent="0.25">
      <c r="A16">
        <v>1203</v>
      </c>
      <c r="D16" s="14">
        <f>U49*U43/(W49+X50)</f>
        <v>3.4500478153846152E-2</v>
      </c>
      <c r="E16">
        <f>D16/H10*10^6</f>
        <v>11.353846153846154</v>
      </c>
      <c r="F16">
        <f>E16*0.75/2</f>
        <v>4.2576923076923077</v>
      </c>
      <c r="L16" s="4" t="s">
        <v>48</v>
      </c>
      <c r="M16" s="4" t="s">
        <v>49</v>
      </c>
    </row>
    <row r="17" spans="1:45" x14ac:dyDescent="0.25">
      <c r="A17">
        <v>1223</v>
      </c>
      <c r="D17" s="14">
        <f>C49*C43/(E49+F50)</f>
        <v>4.6716075391648341E-2</v>
      </c>
      <c r="E17">
        <f>D17/H11*10^6</f>
        <v>14.20852747252747</v>
      </c>
      <c r="F17">
        <f>E17*0.75/2</f>
        <v>5.3281978021978009</v>
      </c>
      <c r="L17">
        <v>5</v>
      </c>
      <c r="M17">
        <v>10</v>
      </c>
    </row>
    <row r="18" spans="1:45" x14ac:dyDescent="0.25">
      <c r="A18">
        <v>1224</v>
      </c>
      <c r="D18" s="14"/>
      <c r="L18" s="17" t="s">
        <v>50</v>
      </c>
      <c r="M18" s="17" t="s">
        <v>51</v>
      </c>
      <c r="N18" t="s">
        <v>52</v>
      </c>
    </row>
    <row r="19" spans="1:45" x14ac:dyDescent="0.25">
      <c r="A19">
        <v>991</v>
      </c>
      <c r="D19" s="14">
        <f>(B49+D49)*B43/(E49+F50)</f>
        <v>0.25245001186813187</v>
      </c>
      <c r="E19">
        <f>D19/H6*10^6</f>
        <v>71.042637362637365</v>
      </c>
      <c r="L19" s="18">
        <v>0.79</v>
      </c>
      <c r="M19" s="18">
        <v>8</v>
      </c>
      <c r="N19">
        <v>0.1</v>
      </c>
    </row>
    <row r="20" spans="1:45" x14ac:dyDescent="0.25">
      <c r="A20" t="s">
        <v>20</v>
      </c>
      <c r="D20" s="14">
        <f>H50</f>
        <v>2.5028571428571428E-2</v>
      </c>
      <c r="E20">
        <f>D20/H12*10^6</f>
        <v>1.5948611970088704</v>
      </c>
      <c r="F20">
        <f>D20/H13*10^6</f>
        <v>1.5341906470063753</v>
      </c>
    </row>
    <row r="21" spans="1:45" x14ac:dyDescent="0.25">
      <c r="A21" s="17" t="s">
        <v>53</v>
      </c>
      <c r="B21" s="17" t="s">
        <v>54</v>
      </c>
      <c r="C21" s="17" t="s">
        <v>55</v>
      </c>
      <c r="D21" s="17" t="s">
        <v>56</v>
      </c>
      <c r="E21" s="17" t="s">
        <v>51</v>
      </c>
      <c r="F21" s="17" t="s">
        <v>57</v>
      </c>
      <c r="G21" s="17" t="s">
        <v>58</v>
      </c>
      <c r="H21" s="19" t="s">
        <v>59</v>
      </c>
      <c r="I21" s="17" t="s">
        <v>60</v>
      </c>
      <c r="J21" s="17" t="s">
        <v>61</v>
      </c>
      <c r="K21" s="17" t="s">
        <v>62</v>
      </c>
      <c r="L21" s="17" t="s">
        <v>63</v>
      </c>
      <c r="M21" s="17" t="s">
        <v>64</v>
      </c>
      <c r="N21" s="19" t="s">
        <v>65</v>
      </c>
    </row>
    <row r="22" spans="1:45" x14ac:dyDescent="0.25">
      <c r="A22" s="17" t="s">
        <v>66</v>
      </c>
      <c r="B22" s="18">
        <v>3</v>
      </c>
      <c r="C22" s="20">
        <f>SUM(B37,D37,B49,D49,B61,D61)*B22</f>
        <v>118.88571428571427</v>
      </c>
      <c r="D22" s="18">
        <f>2*35*B22</f>
        <v>210</v>
      </c>
      <c r="E22" s="18">
        <f>(3*$M$19+12.48)*2*B22</f>
        <v>218.88000000000002</v>
      </c>
      <c r="F22" s="20">
        <f>SUM(C22,D22,E22)</f>
        <v>547.76571428571424</v>
      </c>
      <c r="G22" s="21">
        <f>B31/D$6*F22</f>
        <v>17.447444619803353</v>
      </c>
      <c r="H22" s="18"/>
      <c r="I22" s="21"/>
      <c r="J22" s="20">
        <f>B32/D$12*F22</f>
        <v>17.297864661654135</v>
      </c>
      <c r="K22" s="18"/>
      <c r="L22" s="20">
        <f>F22-(G22+I22+J22+K22)</f>
        <v>513.02040500425676</v>
      </c>
      <c r="M22" s="18"/>
      <c r="N22" s="20">
        <f>L22/2</f>
        <v>256.51020250212838</v>
      </c>
    </row>
    <row r="23" spans="1:45" x14ac:dyDescent="0.25">
      <c r="A23" s="17">
        <f>A10</f>
        <v>1203</v>
      </c>
      <c r="B23" s="22">
        <v>1</v>
      </c>
      <c r="C23" s="20">
        <f>U37+U49+U61</f>
        <v>3.333333333333333</v>
      </c>
      <c r="D23" s="18">
        <f>35*B23</f>
        <v>35</v>
      </c>
      <c r="E23" s="18">
        <f>(12.48)*B23</f>
        <v>12.48</v>
      </c>
      <c r="F23" s="20">
        <f>SUM(C23,D23,E23)</f>
        <v>50.813333333333333</v>
      </c>
      <c r="G23" s="21"/>
      <c r="H23" s="23">
        <f>$M$17/100*$E$6*H10/1000/$L$17*2</f>
        <v>0.51750717230769239</v>
      </c>
      <c r="I23" s="21">
        <f>H23/D10*F23</f>
        <v>5.2592528897723083</v>
      </c>
      <c r="J23" s="20"/>
      <c r="K23" s="20">
        <f>(F23-I23)/2</f>
        <v>22.777040221780513</v>
      </c>
      <c r="L23" s="20">
        <f>F23-(G23+I23+J23+K23)</f>
        <v>22.77704022178051</v>
      </c>
      <c r="M23" s="20">
        <f>K23*L$19</f>
        <v>17.993861775206607</v>
      </c>
      <c r="N23" s="20"/>
    </row>
    <row r="24" spans="1:45" x14ac:dyDescent="0.25">
      <c r="A24" s="17">
        <f>A11</f>
        <v>1223</v>
      </c>
      <c r="B24" s="22">
        <v>1</v>
      </c>
      <c r="C24" s="20">
        <f>C37+C49+C61</f>
        <v>4.1714285714285708</v>
      </c>
      <c r="D24" s="18">
        <f>35*B24</f>
        <v>35</v>
      </c>
      <c r="E24" s="18">
        <f>(12.48)*B24</f>
        <v>12.48</v>
      </c>
      <c r="F24" s="20">
        <f>SUM(C24,D24,E24)</f>
        <v>51.651428571428568</v>
      </c>
      <c r="G24" s="18"/>
      <c r="H24" s="23">
        <f>$M$17/100*$E$6*H11/1000/$L$17*2</f>
        <v>0.55995295846153847</v>
      </c>
      <c r="I24" s="21">
        <f>H24/D11*F24</f>
        <v>5.7844740474672527</v>
      </c>
      <c r="J24" s="18"/>
      <c r="K24" s="20">
        <f>(F24-I24)/2</f>
        <v>22.933477261980656</v>
      </c>
      <c r="L24" s="20">
        <f>F24-(G24+I24+J24+K24)</f>
        <v>22.933477261980659</v>
      </c>
      <c r="M24" s="20">
        <f>K24*L$19</f>
        <v>18.11744703696472</v>
      </c>
      <c r="N24" s="20"/>
    </row>
    <row r="26" spans="1:45" ht="15.75" thickBot="1" x14ac:dyDescent="0.3">
      <c r="A26" s="24" t="s">
        <v>67</v>
      </c>
      <c r="B26" s="25">
        <v>1223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S26" s="24" t="s">
        <v>68</v>
      </c>
      <c r="T26" s="25">
        <f>$A23</f>
        <v>1203</v>
      </c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G26" s="24" t="s">
        <v>68</v>
      </c>
      <c r="AH26" s="25">
        <f>$A24</f>
        <v>1223</v>
      </c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x14ac:dyDescent="0.25">
      <c r="A27" s="26"/>
      <c r="B27" t="s">
        <v>69</v>
      </c>
      <c r="C27" t="s">
        <v>70</v>
      </c>
      <c r="K27" s="17" t="s">
        <v>71</v>
      </c>
      <c r="L27" s="19" t="s">
        <v>72</v>
      </c>
      <c r="M27" s="27" t="s">
        <v>73</v>
      </c>
      <c r="S27" s="26"/>
      <c r="T27" t="s">
        <v>69</v>
      </c>
      <c r="U27" t="s">
        <v>70</v>
      </c>
    </row>
    <row r="28" spans="1:45" x14ac:dyDescent="0.25">
      <c r="A28" s="26" t="s">
        <v>74</v>
      </c>
      <c r="B28" s="4">
        <v>10</v>
      </c>
      <c r="C28" s="28">
        <f>C31*C35/$H11/(B31*(B35+D35)/$H$6)*100</f>
        <v>10</v>
      </c>
      <c r="E28" s="4"/>
      <c r="K28" s="17" t="str">
        <f>A22</f>
        <v>991 + siGFP</v>
      </c>
      <c r="L28" s="20">
        <f>F22</f>
        <v>547.76571428571424</v>
      </c>
      <c r="M28" s="20">
        <f>L28/2</f>
        <v>273.88285714285712</v>
      </c>
      <c r="P28" s="12"/>
      <c r="S28" s="26" t="s">
        <v>74</v>
      </c>
      <c r="T28" s="4">
        <v>10</v>
      </c>
      <c r="U28" s="28">
        <f>U31*U35/$H10/(T31*(T35+V35)/$H$6)*100</f>
        <v>10</v>
      </c>
      <c r="W28" s="4"/>
    </row>
    <row r="29" spans="1:45" x14ac:dyDescent="0.25">
      <c r="B29" s="29" t="s">
        <v>75</v>
      </c>
      <c r="C29" s="29">
        <f>A24</f>
        <v>1223</v>
      </c>
      <c r="D29" s="29" t="s">
        <v>76</v>
      </c>
      <c r="K29" s="17">
        <f>A23</f>
        <v>1203</v>
      </c>
      <c r="L29" s="20">
        <f>F23</f>
        <v>50.813333333333333</v>
      </c>
      <c r="M29" s="30">
        <f>L29</f>
        <v>50.813333333333333</v>
      </c>
      <c r="N29" s="4" t="s">
        <v>77</v>
      </c>
      <c r="T29" s="29" t="s">
        <v>75</v>
      </c>
      <c r="U29" s="29">
        <f>A23</f>
        <v>1203</v>
      </c>
      <c r="V29" s="29" t="s">
        <v>76</v>
      </c>
      <c r="AB29" s="4" t="s">
        <v>77</v>
      </c>
    </row>
    <row r="30" spans="1:45" x14ac:dyDescent="0.25">
      <c r="B30" s="29"/>
      <c r="C30" s="29"/>
      <c r="D30" s="29"/>
      <c r="E30" s="31"/>
      <c r="K30" s="17">
        <f>A24</f>
        <v>1223</v>
      </c>
      <c r="L30" s="20">
        <f>F24</f>
        <v>51.651428571428568</v>
      </c>
      <c r="M30" s="30">
        <f>L30</f>
        <v>51.651428571428568</v>
      </c>
      <c r="N30" s="17"/>
      <c r="O30" s="17" t="s">
        <v>78</v>
      </c>
      <c r="P30" s="17" t="s">
        <v>79</v>
      </c>
      <c r="Q30" s="17" t="s">
        <v>80</v>
      </c>
      <c r="T30" s="29"/>
      <c r="U30" s="29"/>
      <c r="V30" s="29"/>
      <c r="W30" s="31"/>
      <c r="AB30" s="17"/>
      <c r="AC30" s="17" t="s">
        <v>78</v>
      </c>
      <c r="AD30" s="17" t="s">
        <v>79</v>
      </c>
      <c r="AE30" s="17" t="s">
        <v>80</v>
      </c>
    </row>
    <row r="31" spans="1:45" x14ac:dyDescent="0.25">
      <c r="A31" t="s">
        <v>81</v>
      </c>
      <c r="B31" s="14">
        <f>$E$6*$H$6/1000/B35</f>
        <v>0.3185202024291498</v>
      </c>
      <c r="C31" s="14">
        <f>B28/100*$E$6*$H$11/1000/C35*2</f>
        <v>0.55995295846153847</v>
      </c>
      <c r="D31" s="14">
        <f>$E$6*$H$6/1000/D35</f>
        <v>0.3185202024291498</v>
      </c>
      <c r="E31" s="31"/>
      <c r="I31" s="32"/>
      <c r="K31" s="17"/>
      <c r="L31" s="20"/>
      <c r="M31" s="30"/>
      <c r="N31" s="33" t="s">
        <v>82</v>
      </c>
      <c r="O31" s="18">
        <f>(B35+D35)*B31</f>
        <v>30.259419230769232</v>
      </c>
      <c r="P31" s="18">
        <f>O31/$H$6</f>
        <v>8.5153846153846156E-3</v>
      </c>
      <c r="Q31" s="18"/>
      <c r="S31" t="s">
        <v>81</v>
      </c>
      <c r="T31" s="14">
        <f>$E$6*$H$6/1000/T35</f>
        <v>0.3185202024291498</v>
      </c>
      <c r="U31" s="14">
        <f>T28/100*$E$6*$H$10/1000/U35*2</f>
        <v>0.51750717230769239</v>
      </c>
      <c r="V31" s="14">
        <f>$E$6*$H$6/1000/V35</f>
        <v>0.3185202024291498</v>
      </c>
      <c r="W31" s="31"/>
      <c r="AA31" s="32"/>
      <c r="AB31" s="33" t="s">
        <v>82</v>
      </c>
      <c r="AC31" s="18">
        <f>(T35+V35)*T31</f>
        <v>30.259419230769232</v>
      </c>
      <c r="AD31" s="18">
        <f>AC31/$H$6</f>
        <v>8.5153846153846156E-3</v>
      </c>
      <c r="AE31" s="18"/>
    </row>
    <row r="32" spans="1:45" x14ac:dyDescent="0.25">
      <c r="A32" t="s">
        <v>83</v>
      </c>
      <c r="B32" s="14">
        <f>$B$6/1000/B35</f>
        <v>3.1578947368421054E-2</v>
      </c>
      <c r="C32" s="34"/>
      <c r="D32" s="14">
        <f>$B$6/1000/D35</f>
        <v>3.1578947368421054E-2</v>
      </c>
      <c r="E32" s="31"/>
      <c r="I32" s="32"/>
      <c r="K32" s="17"/>
      <c r="L32" s="20"/>
      <c r="M32" s="30"/>
      <c r="N32" s="17" t="s">
        <v>40</v>
      </c>
      <c r="O32" s="18">
        <f>C31*C35</f>
        <v>2.7997647923076925</v>
      </c>
      <c r="P32" s="18">
        <f>O32/$H$11</f>
        <v>8.5153846153846163E-4</v>
      </c>
      <c r="Q32" s="18">
        <f>P32/P31</f>
        <v>0.1</v>
      </c>
      <c r="S32" t="s">
        <v>83</v>
      </c>
      <c r="T32" s="14">
        <f>$B$6/1000/T35</f>
        <v>3.1578947368421054E-2</v>
      </c>
      <c r="U32" s="34"/>
      <c r="V32" s="14">
        <f>$B$6/1000/V35</f>
        <v>3.1578947368421054E-2</v>
      </c>
      <c r="W32" s="31"/>
      <c r="AA32" s="32"/>
      <c r="AB32" s="17" t="s">
        <v>40</v>
      </c>
      <c r="AC32" s="18">
        <f>U31*U35</f>
        <v>2.5875358615384618</v>
      </c>
      <c r="AD32" s="18">
        <f>AC32/$H$10</f>
        <v>8.5153846153846163E-4</v>
      </c>
      <c r="AE32" s="18">
        <f>AD32/AD31</f>
        <v>0.1</v>
      </c>
    </row>
    <row r="33" spans="1:31" ht="15.75" customHeight="1" thickBot="1" x14ac:dyDescent="0.3">
      <c r="A33" s="4" t="s">
        <v>84</v>
      </c>
      <c r="B33" s="4" t="s">
        <v>85</v>
      </c>
      <c r="C33" s="4" t="s">
        <v>86</v>
      </c>
      <c r="D33" s="4" t="s">
        <v>87</v>
      </c>
      <c r="E33" s="4" t="s">
        <v>33</v>
      </c>
      <c r="G33" s="35" t="s">
        <v>88</v>
      </c>
      <c r="K33" s="17"/>
      <c r="L33" s="20"/>
      <c r="M33" s="30"/>
      <c r="N33" s="17" t="s">
        <v>20</v>
      </c>
      <c r="O33" s="18">
        <f>B32*(B37+D37)</f>
        <v>0</v>
      </c>
      <c r="P33" s="18"/>
      <c r="Q33" s="18"/>
      <c r="S33" s="4" t="s">
        <v>84</v>
      </c>
      <c r="T33" s="4" t="s">
        <v>85</v>
      </c>
      <c r="U33" s="4" t="s">
        <v>86</v>
      </c>
      <c r="V33" s="4" t="s">
        <v>87</v>
      </c>
      <c r="W33" s="4" t="s">
        <v>33</v>
      </c>
      <c r="Y33" s="35" t="s">
        <v>88</v>
      </c>
      <c r="AB33" s="17" t="s">
        <v>20</v>
      </c>
      <c r="AC33" s="18">
        <f>T32*(T37+V37)</f>
        <v>0</v>
      </c>
      <c r="AD33" s="18"/>
      <c r="AE33" s="18"/>
    </row>
    <row r="34" spans="1:31" x14ac:dyDescent="0.25">
      <c r="A34" s="36" t="s">
        <v>89</v>
      </c>
      <c r="B34" s="37">
        <v>600</v>
      </c>
      <c r="C34" s="38">
        <f>C35/B36*60</f>
        <v>63.157894736842103</v>
      </c>
      <c r="D34" s="39">
        <f>D35/C36*60</f>
        <v>599.99999999999989</v>
      </c>
      <c r="E34" s="40">
        <f>SUM(B34:D34)</f>
        <v>1263.1578947368421</v>
      </c>
      <c r="F34" t="s">
        <v>90</v>
      </c>
      <c r="G34" s="35"/>
      <c r="K34" s="17"/>
      <c r="L34" s="20"/>
      <c r="M34" s="30"/>
      <c r="S34" s="36" t="s">
        <v>89</v>
      </c>
      <c r="T34" s="37">
        <v>600</v>
      </c>
      <c r="U34" s="38">
        <f>U35/T36*60</f>
        <v>63.157894736842103</v>
      </c>
      <c r="V34" s="39">
        <f>V35/U36*60</f>
        <v>599.99999999999989</v>
      </c>
      <c r="W34" s="40">
        <f>SUM(T34:V34)</f>
        <v>1263.1578947368421</v>
      </c>
      <c r="X34" t="s">
        <v>90</v>
      </c>
      <c r="Y34" s="35"/>
    </row>
    <row r="35" spans="1:31" x14ac:dyDescent="0.25">
      <c r="A35" s="4" t="s">
        <v>91</v>
      </c>
      <c r="B35" s="41">
        <f>(C35*20-C35)/2</f>
        <v>47.5</v>
      </c>
      <c r="C35" s="42">
        <v>5</v>
      </c>
      <c r="D35" s="43">
        <f>(C35*20-C35)/2</f>
        <v>47.5</v>
      </c>
      <c r="E35" s="40">
        <f>SUM(B35:D35)</f>
        <v>100</v>
      </c>
      <c r="F35" s="44">
        <f>B32*(B35+D35)/E35</f>
        <v>0.03</v>
      </c>
      <c r="G35" s="12">
        <f>F35*60</f>
        <v>1.7999999999999998</v>
      </c>
      <c r="H35" s="12"/>
      <c r="K35" s="17"/>
      <c r="L35" s="20"/>
      <c r="M35" s="30"/>
      <c r="S35" s="4" t="s">
        <v>91</v>
      </c>
      <c r="T35" s="41">
        <f>(U35*20-U35)/2</f>
        <v>47.5</v>
      </c>
      <c r="U35" s="42">
        <v>5</v>
      </c>
      <c r="V35" s="43">
        <f>(U35*20-U35)/2</f>
        <v>47.5</v>
      </c>
      <c r="W35" s="40">
        <f>SUM(T35:V35)</f>
        <v>100</v>
      </c>
      <c r="X35" s="44">
        <f>$T$32*(T35+V35)/W35</f>
        <v>0.03</v>
      </c>
      <c r="Y35" s="12">
        <f>X35*60</f>
        <v>1.7999999999999998</v>
      </c>
      <c r="Z35" s="12"/>
    </row>
    <row r="36" spans="1:31" ht="15.75" customHeight="1" thickBot="1" x14ac:dyDescent="0.3">
      <c r="A36" s="4" t="s">
        <v>92</v>
      </c>
      <c r="B36" s="45">
        <f>B35/B34*60</f>
        <v>4.75</v>
      </c>
      <c r="C36" s="46">
        <f>C35/C34*60</f>
        <v>4.7500000000000009</v>
      </c>
      <c r="D36" s="47">
        <f>D35/D34*60</f>
        <v>4.7500000000000009</v>
      </c>
      <c r="E36" s="48"/>
      <c r="I36" s="35" t="s">
        <v>88</v>
      </c>
      <c r="K36" s="17"/>
      <c r="L36" s="20"/>
      <c r="M36" s="30"/>
      <c r="S36" s="4" t="s">
        <v>92</v>
      </c>
      <c r="T36" s="45">
        <f>T35/T34*60</f>
        <v>4.75</v>
      </c>
      <c r="U36" s="46">
        <f>U35/U34*60</f>
        <v>4.7500000000000009</v>
      </c>
      <c r="V36" s="47">
        <f>V35/V34*60</f>
        <v>4.7500000000000009</v>
      </c>
      <c r="W36" s="48"/>
      <c r="AA36" s="35" t="s">
        <v>88</v>
      </c>
    </row>
    <row r="37" spans="1:31" x14ac:dyDescent="0.25">
      <c r="A37" s="26" t="s">
        <v>93</v>
      </c>
      <c r="B37" s="49">
        <f>E37/E35*B35</f>
        <v>0</v>
      </c>
      <c r="C37" s="38">
        <f>E37/E35*C35</f>
        <v>0</v>
      </c>
      <c r="D37" s="39">
        <f>E37/E35*D35</f>
        <v>0</v>
      </c>
      <c r="E37" s="50">
        <v>0</v>
      </c>
      <c r="F37" s="51" t="s">
        <v>94</v>
      </c>
      <c r="H37" t="s">
        <v>90</v>
      </c>
      <c r="I37" s="35"/>
      <c r="J37" s="52" t="s">
        <v>95</v>
      </c>
      <c r="K37" s="52"/>
      <c r="S37" s="26" t="s">
        <v>93</v>
      </c>
      <c r="T37" s="49">
        <f>W37/W35*T35</f>
        <v>0</v>
      </c>
      <c r="U37" s="38">
        <f>W37/W35*U35</f>
        <v>0</v>
      </c>
      <c r="V37" s="39">
        <f>W37/W35*V35</f>
        <v>0</v>
      </c>
      <c r="W37" s="50">
        <v>0</v>
      </c>
      <c r="X37" s="51" t="s">
        <v>94</v>
      </c>
      <c r="Z37" t="s">
        <v>90</v>
      </c>
      <c r="AA37" s="35"/>
      <c r="AB37" s="52" t="s">
        <v>95</v>
      </c>
      <c r="AC37" s="52"/>
    </row>
    <row r="38" spans="1:31" ht="15.75" thickBot="1" x14ac:dyDescent="0.3">
      <c r="A38" s="26" t="s">
        <v>96</v>
      </c>
      <c r="B38" s="53">
        <f>B36*E37/E35</f>
        <v>0</v>
      </c>
      <c r="C38" s="54">
        <f>C36*E37/E35</f>
        <v>0</v>
      </c>
      <c r="D38" s="55">
        <f>D36*E37/E35</f>
        <v>0</v>
      </c>
      <c r="F38" s="4">
        <f>E67-E37</f>
        <v>50</v>
      </c>
      <c r="H38" s="44">
        <f>$B$32*(B37+D37)/(E37+F38)</f>
        <v>0</v>
      </c>
      <c r="I38" s="12">
        <f>H38*60</f>
        <v>0</v>
      </c>
      <c r="J38">
        <f>C34/C34</f>
        <v>1</v>
      </c>
      <c r="K38" s="13">
        <f>E34/C34</f>
        <v>20</v>
      </c>
      <c r="S38" s="26" t="s">
        <v>96</v>
      </c>
      <c r="T38" s="53">
        <f>T36*W37/W35</f>
        <v>0</v>
      </c>
      <c r="U38" s="54">
        <f>U36*W37/W35</f>
        <v>0</v>
      </c>
      <c r="V38" s="55">
        <f>V36*W37/W35</f>
        <v>0</v>
      </c>
      <c r="X38" s="4">
        <f>W67-W37</f>
        <v>50</v>
      </c>
      <c r="Z38" s="44">
        <f>$T$32*(T37+V37)/(W37+X38)</f>
        <v>0</v>
      </c>
      <c r="AA38" s="12">
        <f>Z38*60</f>
        <v>0</v>
      </c>
      <c r="AB38">
        <f>U34/U34</f>
        <v>1</v>
      </c>
      <c r="AC38" s="13">
        <f>W34/U34</f>
        <v>20</v>
      </c>
    </row>
    <row r="39" spans="1:31" x14ac:dyDescent="0.25">
      <c r="A39" s="26"/>
      <c r="F39" s="56"/>
      <c r="G39" s="57"/>
      <c r="S39" s="26"/>
      <c r="X39" s="56"/>
      <c r="Y39" s="57"/>
    </row>
    <row r="40" spans="1:31" x14ac:dyDescent="0.25">
      <c r="A40" s="26" t="s">
        <v>97</v>
      </c>
      <c r="B40">
        <v>20</v>
      </c>
      <c r="C40" s="58">
        <f>C43*C47/$H11/(B43*(B47+D47)/$H$6)*100</f>
        <v>20</v>
      </c>
      <c r="F40" s="56"/>
      <c r="G40" s="12"/>
      <c r="S40" s="26" t="s">
        <v>97</v>
      </c>
      <c r="T40">
        <v>20</v>
      </c>
      <c r="U40" s="58">
        <f>U43*U47/$H10/(T43*(T47+V47)/$H$6)*100</f>
        <v>20</v>
      </c>
      <c r="X40" s="56"/>
      <c r="Y40" s="12"/>
    </row>
    <row r="41" spans="1:31" x14ac:dyDescent="0.25">
      <c r="B41" s="29" t="s">
        <v>75</v>
      </c>
      <c r="C41" s="29">
        <f>C29</f>
        <v>1223</v>
      </c>
      <c r="D41" s="29" t="s">
        <v>75</v>
      </c>
      <c r="N41" s="4" t="s">
        <v>77</v>
      </c>
      <c r="T41" s="29" t="s">
        <v>75</v>
      </c>
      <c r="U41" s="29">
        <f>U29</f>
        <v>1203</v>
      </c>
      <c r="V41" s="29" t="s">
        <v>75</v>
      </c>
      <c r="AB41" s="4" t="s">
        <v>77</v>
      </c>
    </row>
    <row r="42" spans="1:31" x14ac:dyDescent="0.25">
      <c r="B42" s="29"/>
      <c r="C42" s="29"/>
      <c r="D42" s="29"/>
      <c r="E42" s="31"/>
      <c r="N42" s="17"/>
      <c r="O42" s="17" t="s">
        <v>78</v>
      </c>
      <c r="P42" s="17" t="s">
        <v>79</v>
      </c>
      <c r="Q42" s="17" t="s">
        <v>80</v>
      </c>
      <c r="T42" s="29"/>
      <c r="U42" s="29"/>
      <c r="V42" s="29"/>
      <c r="W42" s="31"/>
      <c r="AB42" s="17"/>
      <c r="AC42" s="17" t="s">
        <v>78</v>
      </c>
      <c r="AD42" s="17" t="s">
        <v>79</v>
      </c>
      <c r="AE42" s="17" t="s">
        <v>80</v>
      </c>
    </row>
    <row r="43" spans="1:31" x14ac:dyDescent="0.25">
      <c r="A43" t="s">
        <v>98</v>
      </c>
      <c r="B43" s="14">
        <f>$E$6*$H$6/1000/B47</f>
        <v>0.3185202024291498</v>
      </c>
      <c r="C43" s="14">
        <f>C31</f>
        <v>0.55995295846153847</v>
      </c>
      <c r="D43" s="14">
        <f>$E$6*$H$6/1000/D47</f>
        <v>0.3185202024291498</v>
      </c>
      <c r="E43" s="31"/>
      <c r="N43" s="33" t="s">
        <v>82</v>
      </c>
      <c r="O43" s="18">
        <f>(B47+D47)*B43</f>
        <v>30.259419230769232</v>
      </c>
      <c r="P43" s="18">
        <f>O43/$H$6</f>
        <v>8.5153846153846156E-3</v>
      </c>
      <c r="Q43" s="18"/>
      <c r="S43" t="s">
        <v>98</v>
      </c>
      <c r="T43" s="14">
        <f>$E$6*$H$6/1000/T47</f>
        <v>0.3185202024291498</v>
      </c>
      <c r="U43" s="14">
        <f>U31</f>
        <v>0.51750717230769239</v>
      </c>
      <c r="V43" s="14">
        <f>$E$6*$H$6/1000/V47</f>
        <v>0.3185202024291498</v>
      </c>
      <c r="W43" s="31"/>
      <c r="AB43" s="33" t="s">
        <v>82</v>
      </c>
      <c r="AC43" s="18">
        <f>(T47+V47)*T43</f>
        <v>30.259419230769232</v>
      </c>
      <c r="AD43" s="18">
        <f>AC43/$H$6</f>
        <v>8.5153846153846156E-3</v>
      </c>
      <c r="AE43" s="18"/>
    </row>
    <row r="44" spans="1:31" x14ac:dyDescent="0.25">
      <c r="B44" s="14">
        <f>$B$6/1000/B47</f>
        <v>3.1578947368421054E-2</v>
      </c>
      <c r="C44" s="34"/>
      <c r="D44" s="14">
        <f>$B$6/1000/D47</f>
        <v>3.1578947368421054E-2</v>
      </c>
      <c r="E44" s="31"/>
      <c r="N44" s="17" t="s">
        <v>40</v>
      </c>
      <c r="O44" s="18">
        <f>C43*C47</f>
        <v>5.599529584615385</v>
      </c>
      <c r="P44" s="18">
        <f>O44/$H$11</f>
        <v>1.7030769230769233E-3</v>
      </c>
      <c r="Q44" s="18">
        <f>P44/P43</f>
        <v>0.2</v>
      </c>
      <c r="T44" s="14">
        <f>$B$6/1000/T47</f>
        <v>3.1578947368421054E-2</v>
      </c>
      <c r="U44" s="34"/>
      <c r="V44" s="14">
        <f>$B$6/1000/V47</f>
        <v>3.1578947368421054E-2</v>
      </c>
      <c r="W44" s="31"/>
      <c r="AB44" s="17" t="s">
        <v>40</v>
      </c>
      <c r="AC44" s="18">
        <f>U43*U47</f>
        <v>5.1750717230769236</v>
      </c>
      <c r="AD44" s="18">
        <f>AC44/$H$10</f>
        <v>1.7030769230769233E-3</v>
      </c>
      <c r="AE44" s="18">
        <f>AD44/AD43</f>
        <v>0.2</v>
      </c>
    </row>
    <row r="45" spans="1:31" ht="15.75" customHeight="1" thickBot="1" x14ac:dyDescent="0.3">
      <c r="A45" s="4" t="s">
        <v>84</v>
      </c>
      <c r="B45" s="4" t="s">
        <v>85</v>
      </c>
      <c r="C45" s="4" t="s">
        <v>86</v>
      </c>
      <c r="D45" s="4" t="s">
        <v>87</v>
      </c>
      <c r="E45" s="4" t="s">
        <v>33</v>
      </c>
      <c r="G45" s="35" t="s">
        <v>88</v>
      </c>
      <c r="N45" s="17" t="s">
        <v>20</v>
      </c>
      <c r="O45" s="18">
        <f>B44*(B49+D49)</f>
        <v>1.2514285714285713</v>
      </c>
      <c r="P45" s="18"/>
      <c r="Q45" s="18"/>
      <c r="S45" s="4" t="s">
        <v>84</v>
      </c>
      <c r="T45" s="4" t="s">
        <v>85</v>
      </c>
      <c r="U45" s="4" t="s">
        <v>86</v>
      </c>
      <c r="V45" s="4" t="s">
        <v>87</v>
      </c>
      <c r="W45" s="4" t="s">
        <v>33</v>
      </c>
      <c r="Y45" s="35" t="s">
        <v>88</v>
      </c>
      <c r="AB45" s="17" t="s">
        <v>20</v>
      </c>
      <c r="AC45" s="18">
        <f>T44*(T49+V49)</f>
        <v>1</v>
      </c>
      <c r="AD45" s="18"/>
      <c r="AE45" s="18"/>
    </row>
    <row r="46" spans="1:31" x14ac:dyDescent="0.25">
      <c r="A46" s="36" t="s">
        <v>89</v>
      </c>
      <c r="B46" s="37">
        <v>600</v>
      </c>
      <c r="C46" s="38">
        <f>C47/B48*60</f>
        <v>126.31578947368421</v>
      </c>
      <c r="D46" s="39">
        <f>D47/C48*60</f>
        <v>599.99999999999989</v>
      </c>
      <c r="E46" s="40">
        <f>SUM(B46:D46)</f>
        <v>1326.3157894736842</v>
      </c>
      <c r="F46" t="s">
        <v>90</v>
      </c>
      <c r="G46" s="35"/>
      <c r="S46" s="36" t="s">
        <v>89</v>
      </c>
      <c r="T46" s="37">
        <v>600</v>
      </c>
      <c r="U46" s="38">
        <f>U47/T48*60</f>
        <v>126.31578947368421</v>
      </c>
      <c r="V46" s="39">
        <f>V47/U48*60</f>
        <v>599.99999999999989</v>
      </c>
      <c r="W46" s="40">
        <f>SUM(T46:V46)</f>
        <v>1326.3157894736842</v>
      </c>
      <c r="X46" t="s">
        <v>90</v>
      </c>
      <c r="Y46" s="35"/>
    </row>
    <row r="47" spans="1:31" x14ac:dyDescent="0.25">
      <c r="A47" s="4" t="s">
        <v>91</v>
      </c>
      <c r="B47" s="41">
        <f>B35</f>
        <v>47.5</v>
      </c>
      <c r="C47" s="42">
        <f>C35*2</f>
        <v>10</v>
      </c>
      <c r="D47" s="43">
        <f>D35</f>
        <v>47.5</v>
      </c>
      <c r="E47" s="40">
        <f>SUM(B47:D47)</f>
        <v>105</v>
      </c>
      <c r="F47" s="44">
        <f>B32*(B47+D47)/E47</f>
        <v>2.8571428571428571E-2</v>
      </c>
      <c r="G47" s="12">
        <f>F47*60</f>
        <v>1.7142857142857142</v>
      </c>
      <c r="H47" s="12"/>
      <c r="S47" s="4" t="s">
        <v>91</v>
      </c>
      <c r="T47" s="41">
        <f>T35</f>
        <v>47.5</v>
      </c>
      <c r="U47" s="42">
        <f>U35*2</f>
        <v>10</v>
      </c>
      <c r="V47" s="43">
        <f>V35</f>
        <v>47.5</v>
      </c>
      <c r="W47" s="40">
        <f>SUM(T47:V47)</f>
        <v>105</v>
      </c>
      <c r="X47" s="44">
        <f>$T$44*(T47+V47)/W47</f>
        <v>2.8571428571428571E-2</v>
      </c>
      <c r="Y47" s="12">
        <f>X47*60</f>
        <v>1.7142857142857142</v>
      </c>
      <c r="Z47" s="12"/>
    </row>
    <row r="48" spans="1:31" ht="15.75" thickBot="1" x14ac:dyDescent="0.3">
      <c r="A48" s="4" t="s">
        <v>92</v>
      </c>
      <c r="B48" s="45">
        <f>B47/B46*60</f>
        <v>4.75</v>
      </c>
      <c r="C48" s="46">
        <f>C47/C46*60</f>
        <v>4.7500000000000009</v>
      </c>
      <c r="D48" s="47">
        <f>D47/D46*60</f>
        <v>4.7500000000000009</v>
      </c>
      <c r="E48" s="48"/>
      <c r="S48" s="4" t="s">
        <v>92</v>
      </c>
      <c r="T48" s="45">
        <f>T47/T46*60</f>
        <v>4.75</v>
      </c>
      <c r="U48" s="46">
        <f>U47/U46*60</f>
        <v>4.7500000000000009</v>
      </c>
      <c r="V48" s="47">
        <f>V47/V46*60</f>
        <v>4.7500000000000009</v>
      </c>
      <c r="W48" s="48"/>
    </row>
    <row r="49" spans="1:45" x14ac:dyDescent="0.25">
      <c r="A49" s="26" t="s">
        <v>93</v>
      </c>
      <c r="B49" s="49">
        <f>E49/E47*B47</f>
        <v>19.814285714285713</v>
      </c>
      <c r="C49" s="38">
        <f>E49/E47*C47</f>
        <v>4.1714285714285708</v>
      </c>
      <c r="D49" s="39">
        <f>E49/E47*D47</f>
        <v>19.814285714285713</v>
      </c>
      <c r="E49" s="59">
        <v>43.8</v>
      </c>
      <c r="F49" s="51" t="s">
        <v>94</v>
      </c>
      <c r="H49" t="s">
        <v>90</v>
      </c>
      <c r="J49" s="52" t="s">
        <v>95</v>
      </c>
      <c r="K49" s="52"/>
      <c r="S49" s="26" t="s">
        <v>93</v>
      </c>
      <c r="T49" s="49">
        <f>W49/W47*T47</f>
        <v>15.833333333333332</v>
      </c>
      <c r="U49" s="38">
        <f>W49/W47*U47</f>
        <v>3.333333333333333</v>
      </c>
      <c r="V49" s="39">
        <f>W49/W47*V47</f>
        <v>15.833333333333332</v>
      </c>
      <c r="W49" s="59">
        <v>35</v>
      </c>
      <c r="X49" s="51" t="s">
        <v>94</v>
      </c>
      <c r="Z49" t="s">
        <v>90</v>
      </c>
      <c r="AB49" s="52" t="s">
        <v>95</v>
      </c>
      <c r="AC49" s="52"/>
    </row>
    <row r="50" spans="1:45" ht="15.75" thickBot="1" x14ac:dyDescent="0.3">
      <c r="A50" s="26" t="s">
        <v>96</v>
      </c>
      <c r="B50" s="53">
        <f>B48*E49/E47</f>
        <v>1.9814285714285713</v>
      </c>
      <c r="C50" s="54">
        <f>C48*E49/E47</f>
        <v>1.9814285714285715</v>
      </c>
      <c r="D50" s="55">
        <f>D48*E49/E47</f>
        <v>1.9814285714285715</v>
      </c>
      <c r="F50" s="60">
        <f>E67-E49</f>
        <v>6.2000000000000028</v>
      </c>
      <c r="H50" s="44">
        <f>$B$44*(B49+D49)/(E49+F50)</f>
        <v>2.5028571428571428E-2</v>
      </c>
      <c r="J50">
        <f>C46/C46</f>
        <v>1</v>
      </c>
      <c r="K50" s="13">
        <f>E46/C46</f>
        <v>10.5</v>
      </c>
      <c r="S50" s="26" t="s">
        <v>96</v>
      </c>
      <c r="T50" s="53">
        <f>T48*W49/W47</f>
        <v>1.5833333333333333</v>
      </c>
      <c r="U50" s="54">
        <f>U48*W49/W47</f>
        <v>1.5833333333333337</v>
      </c>
      <c r="V50" s="55">
        <f>V48*W49/W47</f>
        <v>1.5833333333333337</v>
      </c>
      <c r="X50" s="60">
        <f>W67-W49</f>
        <v>15</v>
      </c>
      <c r="Z50" s="44">
        <f>$T$44*(T49+V49)/(W49+X50)</f>
        <v>0.02</v>
      </c>
      <c r="AB50">
        <f>U46/U46</f>
        <v>1</v>
      </c>
      <c r="AC50" s="13">
        <f>W46/U46</f>
        <v>10.5</v>
      </c>
    </row>
    <row r="51" spans="1:45" x14ac:dyDescent="0.25">
      <c r="F51" s="56"/>
      <c r="G51" s="12"/>
      <c r="X51" s="56"/>
      <c r="Y51" s="12"/>
    </row>
    <row r="52" spans="1:45" x14ac:dyDescent="0.25">
      <c r="A52" s="26" t="s">
        <v>97</v>
      </c>
      <c r="B52">
        <v>30</v>
      </c>
      <c r="C52" s="58">
        <f>C55*C59/$H11/(B55*(B59+D59)/$H$6)*100</f>
        <v>30</v>
      </c>
      <c r="F52" s="56"/>
      <c r="G52" s="12"/>
      <c r="S52" s="26" t="s">
        <v>97</v>
      </c>
      <c r="T52">
        <v>30</v>
      </c>
      <c r="U52" s="58">
        <f>U55*U59/$H10/(T55*(T59+V59)/$H$6)*100</f>
        <v>30.000000000000004</v>
      </c>
      <c r="X52" s="56"/>
      <c r="Y52" s="12"/>
    </row>
    <row r="53" spans="1:45" x14ac:dyDescent="0.25">
      <c r="B53" s="29" t="s">
        <v>75</v>
      </c>
      <c r="C53" s="29">
        <f>C29</f>
        <v>1223</v>
      </c>
      <c r="D53" s="29" t="s">
        <v>75</v>
      </c>
      <c r="N53" s="4" t="s">
        <v>77</v>
      </c>
      <c r="T53" s="29" t="s">
        <v>75</v>
      </c>
      <c r="U53" s="29">
        <f>U29</f>
        <v>1203</v>
      </c>
      <c r="V53" s="29" t="s">
        <v>75</v>
      </c>
      <c r="AB53" s="4" t="s">
        <v>77</v>
      </c>
    </row>
    <row r="54" spans="1:45" x14ac:dyDescent="0.25">
      <c r="B54" s="29"/>
      <c r="C54" s="29"/>
      <c r="D54" s="29"/>
      <c r="E54" s="31"/>
      <c r="N54" s="17"/>
      <c r="O54" s="17" t="s">
        <v>78</v>
      </c>
      <c r="P54" s="17" t="s">
        <v>79</v>
      </c>
      <c r="Q54" s="17" t="s">
        <v>80</v>
      </c>
      <c r="T54" s="29"/>
      <c r="U54" s="29"/>
      <c r="V54" s="29"/>
      <c r="W54" s="31"/>
      <c r="AB54" s="17"/>
      <c r="AC54" s="17" t="s">
        <v>78</v>
      </c>
      <c r="AD54" s="17" t="s">
        <v>79</v>
      </c>
      <c r="AE54" s="17" t="s">
        <v>80</v>
      </c>
    </row>
    <row r="55" spans="1:45" x14ac:dyDescent="0.25">
      <c r="A55" t="s">
        <v>81</v>
      </c>
      <c r="B55" s="14">
        <f>$E$6*$H$6/1000/B59</f>
        <v>0.3185202024291498</v>
      </c>
      <c r="C55" s="14">
        <f>C31</f>
        <v>0.55995295846153847</v>
      </c>
      <c r="D55" s="14">
        <f>$E$6*$H$6/1000/D59</f>
        <v>0.3185202024291498</v>
      </c>
      <c r="E55" s="31"/>
      <c r="N55" s="33" t="s">
        <v>82</v>
      </c>
      <c r="O55" s="18">
        <f>(B59+D59)*B55</f>
        <v>30.259419230769232</v>
      </c>
      <c r="P55" s="18">
        <f>O55/$H$6</f>
        <v>8.5153846153846156E-3</v>
      </c>
      <c r="Q55" s="18"/>
      <c r="S55" t="s">
        <v>81</v>
      </c>
      <c r="T55" s="14">
        <f>$E$6*$H$6/1000/T59</f>
        <v>0.3185202024291498</v>
      </c>
      <c r="U55" s="14">
        <f>U31</f>
        <v>0.51750717230769239</v>
      </c>
      <c r="V55" s="14">
        <f>$E$6*$H$6/1000/V59</f>
        <v>0.3185202024291498</v>
      </c>
      <c r="W55" s="31"/>
      <c r="AB55" s="33" t="s">
        <v>82</v>
      </c>
      <c r="AC55" s="18">
        <f>(T59+V59)*T55</f>
        <v>30.259419230769232</v>
      </c>
      <c r="AD55" s="18">
        <f>AC55/$H$6</f>
        <v>8.5153846153846156E-3</v>
      </c>
      <c r="AE55" s="18"/>
    </row>
    <row r="56" spans="1:45" x14ac:dyDescent="0.25">
      <c r="A56" t="s">
        <v>83</v>
      </c>
      <c r="B56" s="14">
        <f>$B$6/1000/B59</f>
        <v>3.1578947368421054E-2</v>
      </c>
      <c r="C56" s="34"/>
      <c r="D56" s="14">
        <f>$B$6/1000/D59</f>
        <v>3.1578947368421054E-2</v>
      </c>
      <c r="E56" s="31"/>
      <c r="N56" s="17" t="s">
        <v>40</v>
      </c>
      <c r="O56" s="18">
        <f>C55*C59</f>
        <v>8.399294376923077</v>
      </c>
      <c r="P56" s="18">
        <f>O56/$H$11</f>
        <v>2.5546153846153848E-3</v>
      </c>
      <c r="Q56" s="18">
        <f>P56/P55</f>
        <v>0.3</v>
      </c>
      <c r="S56" t="s">
        <v>83</v>
      </c>
      <c r="T56" s="14">
        <f>$B$6/1000/T59</f>
        <v>3.1578947368421054E-2</v>
      </c>
      <c r="U56" s="34"/>
      <c r="V56" s="14">
        <f>$B$6/1000/V59</f>
        <v>3.1578947368421054E-2</v>
      </c>
      <c r="W56" s="31"/>
      <c r="AB56" s="17" t="s">
        <v>40</v>
      </c>
      <c r="AC56" s="18">
        <f>U55*U59</f>
        <v>7.7626075846153855</v>
      </c>
      <c r="AD56" s="18">
        <f>AC56/$H$10</f>
        <v>2.5546153846153852E-3</v>
      </c>
      <c r="AE56" s="18">
        <f>AD56/AD55</f>
        <v>0.30000000000000004</v>
      </c>
    </row>
    <row r="57" spans="1:45" ht="15.75" customHeight="1" thickBot="1" x14ac:dyDescent="0.3">
      <c r="A57" s="4" t="s">
        <v>84</v>
      </c>
      <c r="B57" s="4" t="s">
        <v>85</v>
      </c>
      <c r="C57" s="4" t="s">
        <v>86</v>
      </c>
      <c r="D57" s="4" t="s">
        <v>87</v>
      </c>
      <c r="E57" s="4" t="s">
        <v>33</v>
      </c>
      <c r="G57" s="35" t="s">
        <v>88</v>
      </c>
      <c r="N57" s="17" t="s">
        <v>20</v>
      </c>
      <c r="O57" s="18">
        <f>B56*(B61+D61)</f>
        <v>0</v>
      </c>
      <c r="P57" s="18"/>
      <c r="Q57" s="18"/>
      <c r="S57" s="4" t="s">
        <v>84</v>
      </c>
      <c r="T57" s="4" t="s">
        <v>85</v>
      </c>
      <c r="U57" s="4" t="s">
        <v>86</v>
      </c>
      <c r="V57" s="4" t="s">
        <v>87</v>
      </c>
      <c r="W57" s="4" t="s">
        <v>33</v>
      </c>
      <c r="Y57" s="35" t="s">
        <v>88</v>
      </c>
      <c r="AB57" s="17" t="s">
        <v>20</v>
      </c>
      <c r="AC57" s="18">
        <f>T56*(T61+V61)</f>
        <v>0</v>
      </c>
      <c r="AD57" s="18"/>
      <c r="AE57" s="18"/>
    </row>
    <row r="58" spans="1:45" x14ac:dyDescent="0.25">
      <c r="A58" s="36" t="s">
        <v>89</v>
      </c>
      <c r="B58" s="37">
        <v>600</v>
      </c>
      <c r="C58" s="38">
        <f>C59/B60*60</f>
        <v>189.47368421052633</v>
      </c>
      <c r="D58" s="39">
        <f>D59/C60*60</f>
        <v>600</v>
      </c>
      <c r="E58" s="40">
        <f>SUM(B58:D58)</f>
        <v>1389.4736842105262</v>
      </c>
      <c r="F58" t="s">
        <v>90</v>
      </c>
      <c r="G58" s="35"/>
      <c r="S58" s="36" t="s">
        <v>89</v>
      </c>
      <c r="T58" s="37">
        <v>600</v>
      </c>
      <c r="U58" s="38">
        <f>U59/T60*60</f>
        <v>189.47368421052633</v>
      </c>
      <c r="V58" s="39">
        <f>V59/U60*60</f>
        <v>600</v>
      </c>
      <c r="W58" s="40">
        <f>SUM(T58:V58)</f>
        <v>1389.4736842105262</v>
      </c>
      <c r="X58" t="s">
        <v>90</v>
      </c>
      <c r="Y58" s="35"/>
    </row>
    <row r="59" spans="1:45" x14ac:dyDescent="0.25">
      <c r="A59" s="4" t="s">
        <v>91</v>
      </c>
      <c r="B59" s="41">
        <f>B35</f>
        <v>47.5</v>
      </c>
      <c r="C59" s="42">
        <f>C35*3</f>
        <v>15</v>
      </c>
      <c r="D59" s="43">
        <f>D35</f>
        <v>47.5</v>
      </c>
      <c r="E59" s="40">
        <f>SUM(B59:D59)</f>
        <v>110</v>
      </c>
      <c r="F59" s="44">
        <f>B56*(B59+D59)/E59</f>
        <v>2.7272727272727271E-2</v>
      </c>
      <c r="G59" s="12">
        <f>F59*60</f>
        <v>1.6363636363636362</v>
      </c>
      <c r="S59" s="4" t="s">
        <v>91</v>
      </c>
      <c r="T59" s="41">
        <f>T35</f>
        <v>47.5</v>
      </c>
      <c r="U59" s="42">
        <f>U35*3</f>
        <v>15</v>
      </c>
      <c r="V59" s="43">
        <f>V35</f>
        <v>47.5</v>
      </c>
      <c r="W59" s="40">
        <f>SUM(T59:V59)</f>
        <v>110</v>
      </c>
      <c r="X59" s="44">
        <f>$T$56*(T59+V59)/W59</f>
        <v>2.7272727272727271E-2</v>
      </c>
      <c r="Y59" s="12">
        <f>X59*60</f>
        <v>1.6363636363636362</v>
      </c>
    </row>
    <row r="60" spans="1:45" ht="15.75" thickBot="1" x14ac:dyDescent="0.3">
      <c r="A60" s="4" t="s">
        <v>92</v>
      </c>
      <c r="B60" s="45">
        <f>B59/B58*60</f>
        <v>4.75</v>
      </c>
      <c r="C60" s="46">
        <f>C59/C58*60</f>
        <v>4.75</v>
      </c>
      <c r="D60" s="47">
        <f>D59/D58*60</f>
        <v>4.75</v>
      </c>
      <c r="E60" s="48"/>
      <c r="S60" s="4" t="s">
        <v>92</v>
      </c>
      <c r="T60" s="45">
        <f>T59/T58*60</f>
        <v>4.75</v>
      </c>
      <c r="U60" s="46">
        <f>U59/U58*60</f>
        <v>4.75</v>
      </c>
      <c r="V60" s="47">
        <f>V59/V58*60</f>
        <v>4.75</v>
      </c>
      <c r="W60" s="48"/>
    </row>
    <row r="61" spans="1:45" x14ac:dyDescent="0.25">
      <c r="A61" s="26" t="s">
        <v>93</v>
      </c>
      <c r="B61" s="49">
        <f>E61/E59*B59</f>
        <v>0</v>
      </c>
      <c r="C61" s="38">
        <f>E61/E59*C59</f>
        <v>0</v>
      </c>
      <c r="D61" s="39">
        <f>E61/E59*D59</f>
        <v>0</v>
      </c>
      <c r="E61" s="59">
        <v>0</v>
      </c>
      <c r="F61" s="51" t="s">
        <v>94</v>
      </c>
      <c r="H61" t="s">
        <v>90</v>
      </c>
      <c r="J61" s="52" t="s">
        <v>95</v>
      </c>
      <c r="K61" s="52"/>
      <c r="S61" s="26" t="s">
        <v>93</v>
      </c>
      <c r="T61" s="49">
        <f>W61/W59*T59</f>
        <v>0</v>
      </c>
      <c r="U61" s="38">
        <f>W61/W59*U59</f>
        <v>0</v>
      </c>
      <c r="V61" s="39">
        <f>W61/W59*V59</f>
        <v>0</v>
      </c>
      <c r="W61" s="59">
        <v>0</v>
      </c>
      <c r="X61" s="51" t="s">
        <v>94</v>
      </c>
      <c r="Z61" t="s">
        <v>90</v>
      </c>
      <c r="AB61" s="52" t="s">
        <v>95</v>
      </c>
      <c r="AC61" s="52"/>
    </row>
    <row r="62" spans="1:45" ht="15.75" thickBot="1" x14ac:dyDescent="0.3">
      <c r="A62" s="26" t="s">
        <v>96</v>
      </c>
      <c r="B62" s="53">
        <f>B60*E61/E59</f>
        <v>0</v>
      </c>
      <c r="C62" s="54">
        <f>C60*E61/E59</f>
        <v>0</v>
      </c>
      <c r="D62" s="55">
        <f>D60*E61/E59</f>
        <v>0</v>
      </c>
      <c r="F62" s="60">
        <f>E67-E61</f>
        <v>50</v>
      </c>
      <c r="H62" s="44">
        <f>$B$56*(B61+D61)/(E61+F62)</f>
        <v>0</v>
      </c>
      <c r="J62">
        <f>C58/C58</f>
        <v>1</v>
      </c>
      <c r="K62" s="13">
        <f>E58/C58</f>
        <v>7.3333333333333321</v>
      </c>
      <c r="L62" s="61"/>
      <c r="M62" s="61"/>
      <c r="S62" s="26" t="s">
        <v>96</v>
      </c>
      <c r="T62" s="53">
        <f>T60*W61/W59</f>
        <v>0</v>
      </c>
      <c r="U62" s="54">
        <f>U60*W61/W59</f>
        <v>0</v>
      </c>
      <c r="V62" s="55">
        <f>V60*W61/W59</f>
        <v>0</v>
      </c>
      <c r="X62" s="60">
        <f>W67-W61</f>
        <v>50</v>
      </c>
      <c r="Z62" s="44">
        <f>$T$56*(T61+V61)/(W61+X62)</f>
        <v>0</v>
      </c>
      <c r="AB62">
        <f>U58/U58</f>
        <v>1</v>
      </c>
      <c r="AC62" s="13">
        <f>W58/U58</f>
        <v>7.3333333333333321</v>
      </c>
      <c r="AD62" s="61"/>
      <c r="AE62" s="61"/>
      <c r="AR62" s="61"/>
      <c r="AS62" s="61"/>
    </row>
    <row r="63" spans="1:45" x14ac:dyDescent="0.25">
      <c r="A63" s="26"/>
      <c r="F63" s="56"/>
      <c r="G63" s="12"/>
      <c r="S63" s="26"/>
      <c r="X63" s="56"/>
      <c r="Y63" s="12"/>
    </row>
    <row r="64" spans="1:45" x14ac:dyDescent="0.25">
      <c r="F64" s="56"/>
      <c r="G64" s="12"/>
      <c r="J64" s="12"/>
      <c r="K64" s="12"/>
      <c r="L64" s="12"/>
      <c r="M64" s="12"/>
      <c r="X64" s="56"/>
      <c r="Y64" s="12"/>
      <c r="AB64" s="12"/>
      <c r="AC64" s="12"/>
      <c r="AD64" s="12"/>
      <c r="AE64" s="12"/>
      <c r="AP64" s="12"/>
      <c r="AQ64" s="12"/>
      <c r="AR64" s="12"/>
      <c r="AS64" s="12"/>
    </row>
    <row r="65" spans="1:45" x14ac:dyDescent="0.25">
      <c r="A65" t="s">
        <v>99</v>
      </c>
      <c r="J65" s="12"/>
      <c r="K65" s="12"/>
      <c r="L65" s="12"/>
      <c r="M65" s="12"/>
      <c r="S65" t="s">
        <v>99</v>
      </c>
      <c r="AB65" s="12"/>
      <c r="AC65" s="12"/>
      <c r="AD65" s="12"/>
      <c r="AE65" s="12"/>
      <c r="AP65" s="12"/>
      <c r="AQ65" s="12"/>
      <c r="AR65" s="12"/>
      <c r="AS65" s="12"/>
    </row>
    <row r="66" spans="1:45" x14ac:dyDescent="0.25">
      <c r="A66" s="18" t="s">
        <v>100</v>
      </c>
      <c r="B66" s="18" t="s">
        <v>101</v>
      </c>
      <c r="C66" s="18"/>
      <c r="D66" s="18" t="s">
        <v>102</v>
      </c>
      <c r="E66" s="18" t="s">
        <v>33</v>
      </c>
      <c r="H66" s="4"/>
      <c r="S66" s="18" t="s">
        <v>100</v>
      </c>
      <c r="T66" s="18" t="s">
        <v>101</v>
      </c>
      <c r="U66" s="18"/>
      <c r="V66" s="18" t="s">
        <v>102</v>
      </c>
      <c r="W66" s="18" t="s">
        <v>33</v>
      </c>
      <c r="Z66" s="4"/>
    </row>
    <row r="67" spans="1:45" x14ac:dyDescent="0.25">
      <c r="A67" s="18"/>
      <c r="B67" s="18">
        <v>30</v>
      </c>
      <c r="C67" s="18"/>
      <c r="D67" s="18">
        <v>20</v>
      </c>
      <c r="E67" s="17">
        <f>SUM(A67:D67)</f>
        <v>50</v>
      </c>
      <c r="H67" s="56"/>
      <c r="S67" s="18"/>
      <c r="T67" s="18">
        <v>30</v>
      </c>
      <c r="U67" s="18"/>
      <c r="V67" s="18">
        <v>20</v>
      </c>
      <c r="W67" s="17">
        <f>SUM(S67:V67)</f>
        <v>50</v>
      </c>
      <c r="Z67" s="56"/>
    </row>
    <row r="75" spans="1:45" x14ac:dyDescent="0.25">
      <c r="A75" s="3" t="s">
        <v>103</v>
      </c>
    </row>
    <row r="76" spans="1:45" x14ac:dyDescent="0.25">
      <c r="A76" s="3" t="s">
        <v>4</v>
      </c>
      <c r="B76" s="3" t="s">
        <v>5</v>
      </c>
      <c r="C76" s="3" t="s">
        <v>6</v>
      </c>
      <c r="D76" s="3" t="s">
        <v>7</v>
      </c>
      <c r="E76" s="3" t="s">
        <v>8</v>
      </c>
      <c r="F76" s="3" t="s">
        <v>9</v>
      </c>
      <c r="G76" s="5" t="s">
        <v>104</v>
      </c>
      <c r="H76" s="5"/>
      <c r="I76" s="5">
        <v>625</v>
      </c>
      <c r="J76" s="5" t="s">
        <v>105</v>
      </c>
      <c r="T76" s="5" t="s">
        <v>106</v>
      </c>
      <c r="U76" s="5" t="s">
        <v>107</v>
      </c>
      <c r="V76" s="5"/>
      <c r="W76" s="5"/>
      <c r="X76" s="5"/>
      <c r="Y76" s="5"/>
    </row>
    <row r="77" spans="1:45" x14ac:dyDescent="0.25">
      <c r="A77" s="3" t="s">
        <v>19</v>
      </c>
      <c r="B77" s="5">
        <v>38094</v>
      </c>
      <c r="C77" s="5">
        <v>58</v>
      </c>
      <c r="D77" s="5">
        <v>57</v>
      </c>
      <c r="E77" s="5">
        <v>59</v>
      </c>
      <c r="F77" s="5">
        <v>57</v>
      </c>
      <c r="G77" s="5" t="s">
        <v>108</v>
      </c>
      <c r="H77" s="5"/>
      <c r="I77" s="5">
        <v>35</v>
      </c>
      <c r="J77" s="5" t="s">
        <v>105</v>
      </c>
      <c r="T77" s="5" t="s">
        <v>109</v>
      </c>
      <c r="U77" s="5" t="s">
        <v>110</v>
      </c>
      <c r="V77" s="5"/>
      <c r="W77" s="5"/>
      <c r="X77" s="5"/>
      <c r="Y77" s="5"/>
    </row>
    <row r="78" spans="1:45" x14ac:dyDescent="0.25">
      <c r="A78" s="3" t="s">
        <v>24</v>
      </c>
      <c r="B78" s="5">
        <v>62</v>
      </c>
      <c r="C78" s="5">
        <v>64</v>
      </c>
      <c r="D78" s="5">
        <v>57</v>
      </c>
      <c r="E78" s="5">
        <v>59</v>
      </c>
      <c r="F78" s="5" t="s">
        <v>28</v>
      </c>
      <c r="G78" s="5" t="s">
        <v>111</v>
      </c>
      <c r="H78" s="5"/>
      <c r="I78" s="5">
        <v>680</v>
      </c>
      <c r="J78" s="5" t="s">
        <v>105</v>
      </c>
      <c r="T78" s="5" t="s">
        <v>112</v>
      </c>
      <c r="U78" s="5"/>
      <c r="V78" s="5"/>
      <c r="W78" s="5"/>
      <c r="X78" s="5" t="s">
        <v>113</v>
      </c>
      <c r="Y78" s="5"/>
    </row>
    <row r="79" spans="1:45" x14ac:dyDescent="0.25">
      <c r="A79" s="3" t="s">
        <v>29</v>
      </c>
      <c r="B79" s="5">
        <v>41742</v>
      </c>
      <c r="C79" s="5">
        <v>27732</v>
      </c>
      <c r="D79" s="5">
        <v>37741</v>
      </c>
      <c r="E79" s="5">
        <v>48608</v>
      </c>
      <c r="F79" s="5" t="s">
        <v>28</v>
      </c>
      <c r="G79" s="5" t="s">
        <v>114</v>
      </c>
      <c r="H79" s="5"/>
      <c r="I79" s="5">
        <v>30.000000000000004</v>
      </c>
      <c r="J79" s="5" t="s">
        <v>105</v>
      </c>
      <c r="T79" s="5" t="s">
        <v>104</v>
      </c>
      <c r="U79" s="5"/>
      <c r="V79" s="5"/>
      <c r="W79" s="5"/>
      <c r="X79" s="5">
        <v>485</v>
      </c>
      <c r="Y79" s="5" t="s">
        <v>105</v>
      </c>
    </row>
    <row r="80" spans="1:45" x14ac:dyDescent="0.25">
      <c r="G80" s="5" t="s">
        <v>115</v>
      </c>
      <c r="H80" s="5"/>
      <c r="I80" s="5">
        <v>57</v>
      </c>
      <c r="J80" s="5" t="s">
        <v>116</v>
      </c>
      <c r="T80" s="5" t="s">
        <v>108</v>
      </c>
      <c r="U80" s="5"/>
      <c r="V80" s="5"/>
      <c r="W80" s="5"/>
      <c r="X80" s="5">
        <v>20</v>
      </c>
      <c r="Y80" s="5" t="s">
        <v>105</v>
      </c>
    </row>
    <row r="81" spans="1:25" x14ac:dyDescent="0.25">
      <c r="G81" s="5"/>
      <c r="H81" s="5"/>
      <c r="I81" s="5"/>
      <c r="J81" s="5"/>
      <c r="K81" s="5"/>
      <c r="L81" s="5"/>
      <c r="T81" s="5" t="s">
        <v>117</v>
      </c>
      <c r="U81" s="5"/>
      <c r="V81" s="5"/>
      <c r="W81" s="5"/>
      <c r="X81" s="5" t="s">
        <v>113</v>
      </c>
      <c r="Y81" s="5"/>
    </row>
    <row r="82" spans="1:25" x14ac:dyDescent="0.25">
      <c r="A82" s="3" t="s">
        <v>118</v>
      </c>
      <c r="T82" s="5" t="s">
        <v>111</v>
      </c>
      <c r="U82" s="5"/>
      <c r="V82" s="5"/>
      <c r="W82" s="5"/>
      <c r="X82" s="5">
        <v>680</v>
      </c>
      <c r="Y82" s="5" t="s">
        <v>105</v>
      </c>
    </row>
    <row r="83" spans="1:25" x14ac:dyDescent="0.25">
      <c r="A83" s="3" t="s">
        <v>4</v>
      </c>
      <c r="B83" s="3" t="s">
        <v>5</v>
      </c>
      <c r="C83" s="3" t="s">
        <v>6</v>
      </c>
      <c r="D83" s="3" t="s">
        <v>7</v>
      </c>
      <c r="E83" s="3" t="s">
        <v>8</v>
      </c>
      <c r="F83" s="3" t="s">
        <v>9</v>
      </c>
      <c r="G83" s="5" t="s">
        <v>104</v>
      </c>
      <c r="H83" s="5"/>
      <c r="I83" s="5">
        <v>485</v>
      </c>
      <c r="J83" s="5" t="s">
        <v>105</v>
      </c>
      <c r="T83" s="5" t="s">
        <v>114</v>
      </c>
      <c r="U83" s="5"/>
      <c r="V83" s="5"/>
      <c r="W83" s="5"/>
      <c r="X83" s="5">
        <v>30.000000000000004</v>
      </c>
      <c r="Y83" s="5" t="s">
        <v>105</v>
      </c>
    </row>
    <row r="84" spans="1:25" x14ac:dyDescent="0.25">
      <c r="A84" s="3" t="s">
        <v>19</v>
      </c>
      <c r="B84" s="5">
        <v>47</v>
      </c>
      <c r="C84" s="5">
        <v>12426</v>
      </c>
      <c r="D84" s="5">
        <v>11435</v>
      </c>
      <c r="E84" s="5">
        <v>46208</v>
      </c>
      <c r="F84" s="5">
        <v>28</v>
      </c>
      <c r="G84" s="5" t="s">
        <v>108</v>
      </c>
      <c r="H84" s="5"/>
      <c r="I84" s="5">
        <v>20</v>
      </c>
      <c r="J84" s="5" t="s">
        <v>105</v>
      </c>
      <c r="T84" s="5" t="s">
        <v>115</v>
      </c>
      <c r="U84" s="5"/>
      <c r="V84" s="5"/>
      <c r="W84" s="5"/>
      <c r="X84" s="5">
        <v>83</v>
      </c>
      <c r="Y84" s="5" t="s">
        <v>116</v>
      </c>
    </row>
    <row r="85" spans="1:25" x14ac:dyDescent="0.25">
      <c r="A85" s="3" t="s">
        <v>24</v>
      </c>
      <c r="B85" s="5">
        <v>36</v>
      </c>
      <c r="C85" s="5">
        <v>4523</v>
      </c>
      <c r="D85" s="5">
        <v>1036</v>
      </c>
      <c r="E85" s="5">
        <v>6644</v>
      </c>
      <c r="F85" s="5" t="s">
        <v>28</v>
      </c>
      <c r="G85" s="5" t="s">
        <v>111</v>
      </c>
      <c r="H85" s="5"/>
      <c r="I85" s="5">
        <v>535.00000000000011</v>
      </c>
      <c r="J85" s="5" t="s">
        <v>105</v>
      </c>
      <c r="T85" s="5" t="s">
        <v>119</v>
      </c>
      <c r="U85" s="5"/>
      <c r="V85" s="5"/>
      <c r="W85" s="5"/>
      <c r="X85" s="5" t="s">
        <v>120</v>
      </c>
      <c r="Y85" s="5"/>
    </row>
    <row r="86" spans="1:25" x14ac:dyDescent="0.25">
      <c r="A86" s="3" t="s">
        <v>29</v>
      </c>
      <c r="B86" s="5">
        <v>49</v>
      </c>
      <c r="C86" s="5">
        <v>7058</v>
      </c>
      <c r="D86" s="5">
        <v>4933</v>
      </c>
      <c r="E86" s="5">
        <v>10661</v>
      </c>
      <c r="F86" s="5" t="s">
        <v>28</v>
      </c>
      <c r="G86" s="5" t="s">
        <v>114</v>
      </c>
      <c r="H86" s="5"/>
      <c r="I86" s="5">
        <v>25.000000000000004</v>
      </c>
      <c r="J86" s="5" t="s">
        <v>105</v>
      </c>
      <c r="T86" s="5" t="s">
        <v>121</v>
      </c>
      <c r="U86" s="5"/>
      <c r="V86" s="5"/>
      <c r="W86" s="5"/>
      <c r="X86" s="5">
        <v>30</v>
      </c>
      <c r="Y86" s="5"/>
    </row>
    <row r="87" spans="1:25" x14ac:dyDescent="0.25">
      <c r="G87" s="5" t="s">
        <v>115</v>
      </c>
      <c r="H87" s="5"/>
      <c r="I87" s="5">
        <v>41</v>
      </c>
      <c r="J87" s="5" t="s">
        <v>116</v>
      </c>
      <c r="T87" s="5" t="s">
        <v>122</v>
      </c>
      <c r="U87" s="5"/>
      <c r="V87" s="5"/>
      <c r="W87" s="5"/>
      <c r="X87" s="5">
        <v>40</v>
      </c>
      <c r="Y87" s="5" t="s">
        <v>123</v>
      </c>
    </row>
    <row r="88" spans="1:25" x14ac:dyDescent="0.25">
      <c r="T88" s="5" t="s">
        <v>124</v>
      </c>
      <c r="U88" s="5"/>
      <c r="V88" s="5"/>
      <c r="W88" s="5"/>
      <c r="X88" s="5">
        <v>0</v>
      </c>
      <c r="Y88" s="5" t="s">
        <v>123</v>
      </c>
    </row>
    <row r="89" spans="1:25" x14ac:dyDescent="0.25">
      <c r="A89" s="3" t="s">
        <v>101</v>
      </c>
      <c r="T89" s="5" t="s">
        <v>125</v>
      </c>
      <c r="U89" s="5"/>
      <c r="V89" s="5"/>
      <c r="W89" s="5"/>
      <c r="X89" s="5">
        <v>0</v>
      </c>
      <c r="Y89" s="5" t="s">
        <v>126</v>
      </c>
    </row>
    <row r="90" spans="1:25" x14ac:dyDescent="0.25">
      <c r="A90" s="3" t="s">
        <v>4</v>
      </c>
      <c r="B90" s="3" t="s">
        <v>5</v>
      </c>
      <c r="C90" s="3" t="s">
        <v>6</v>
      </c>
      <c r="D90" s="3" t="s">
        <v>7</v>
      </c>
      <c r="E90" s="3" t="s">
        <v>8</v>
      </c>
      <c r="F90" s="3" t="s">
        <v>9</v>
      </c>
      <c r="G90" s="5" t="s">
        <v>104</v>
      </c>
      <c r="H90" s="5"/>
      <c r="I90" s="5">
        <v>485</v>
      </c>
      <c r="J90" s="5" t="s">
        <v>105</v>
      </c>
      <c r="T90" s="5" t="s">
        <v>127</v>
      </c>
      <c r="U90" s="5"/>
      <c r="V90" s="5"/>
      <c r="W90" s="5"/>
      <c r="X90" s="5">
        <v>16660</v>
      </c>
      <c r="Y90" s="5" t="s">
        <v>128</v>
      </c>
    </row>
    <row r="91" spans="1:25" x14ac:dyDescent="0.25">
      <c r="A91" s="3" t="s">
        <v>19</v>
      </c>
      <c r="B91" s="5">
        <v>1937</v>
      </c>
      <c r="C91" s="5">
        <v>1683</v>
      </c>
      <c r="D91" s="5">
        <v>1598</v>
      </c>
      <c r="E91" s="5">
        <v>6772</v>
      </c>
      <c r="F91" s="5">
        <v>128</v>
      </c>
      <c r="G91" s="5" t="s">
        <v>108</v>
      </c>
      <c r="H91" s="5"/>
      <c r="I91" s="5">
        <v>20</v>
      </c>
      <c r="J91" s="5" t="s">
        <v>105</v>
      </c>
      <c r="T91" s="5" t="s">
        <v>129</v>
      </c>
      <c r="U91" s="5"/>
      <c r="V91" s="5"/>
      <c r="W91" s="5"/>
      <c r="X91" s="5" t="s">
        <v>130</v>
      </c>
      <c r="Y91" s="5" t="s">
        <v>131</v>
      </c>
    </row>
    <row r="92" spans="1:25" x14ac:dyDescent="0.25">
      <c r="A92" s="3" t="s">
        <v>24</v>
      </c>
      <c r="B92" s="5">
        <v>146</v>
      </c>
      <c r="C92" s="5">
        <v>677</v>
      </c>
      <c r="D92" s="5">
        <v>240</v>
      </c>
      <c r="E92" s="5">
        <v>865</v>
      </c>
      <c r="F92" s="5" t="s">
        <v>28</v>
      </c>
      <c r="G92" s="5" t="s">
        <v>111</v>
      </c>
      <c r="H92" s="5"/>
      <c r="I92" s="5">
        <v>680</v>
      </c>
      <c r="J92" s="5" t="s">
        <v>105</v>
      </c>
      <c r="T92" s="5" t="s">
        <v>132</v>
      </c>
      <c r="U92" s="5"/>
      <c r="V92" s="5"/>
      <c r="W92" s="5"/>
      <c r="X92" s="5" t="s">
        <v>133</v>
      </c>
      <c r="Y92" s="5"/>
    </row>
    <row r="93" spans="1:25" x14ac:dyDescent="0.25">
      <c r="A93" s="3" t="s">
        <v>29</v>
      </c>
      <c r="B93" s="5">
        <v>2112</v>
      </c>
      <c r="C93" s="5">
        <v>24327</v>
      </c>
      <c r="D93" s="5">
        <v>11609</v>
      </c>
      <c r="E93" s="5">
        <v>50337</v>
      </c>
      <c r="F93" s="5" t="s">
        <v>28</v>
      </c>
      <c r="G93" s="5" t="s">
        <v>114</v>
      </c>
      <c r="H93" s="5"/>
      <c r="I93" s="5">
        <v>30.000000000000004</v>
      </c>
      <c r="J93" s="5" t="s">
        <v>105</v>
      </c>
      <c r="T93" s="5"/>
      <c r="U93" s="5"/>
      <c r="V93" s="5"/>
      <c r="W93" s="5"/>
      <c r="X93" s="5"/>
      <c r="Y93" s="5"/>
    </row>
    <row r="94" spans="1:25" x14ac:dyDescent="0.25">
      <c r="G94" s="5" t="s">
        <v>115</v>
      </c>
      <c r="H94" s="5"/>
      <c r="I94" s="5">
        <v>61</v>
      </c>
      <c r="J94" s="5" t="s">
        <v>116</v>
      </c>
      <c r="T94" s="5" t="s">
        <v>134</v>
      </c>
      <c r="U94" s="5"/>
      <c r="V94" s="5"/>
      <c r="W94" s="5"/>
      <c r="X94" s="5" t="s">
        <v>135</v>
      </c>
      <c r="Y94" s="5"/>
    </row>
    <row r="95" spans="1:25" x14ac:dyDescent="0.25">
      <c r="A95" s="3" t="s">
        <v>136</v>
      </c>
      <c r="T95" s="5" t="s">
        <v>137</v>
      </c>
      <c r="U95" s="5"/>
      <c r="V95" s="5"/>
      <c r="W95" s="5"/>
      <c r="X95" s="5">
        <v>25</v>
      </c>
      <c r="Y95" s="5" t="s">
        <v>138</v>
      </c>
    </row>
    <row r="96" spans="1:25" x14ac:dyDescent="0.25">
      <c r="A96" s="3" t="s">
        <v>4</v>
      </c>
      <c r="B96" s="3" t="s">
        <v>5</v>
      </c>
      <c r="C96" s="3" t="s">
        <v>6</v>
      </c>
      <c r="D96" s="3" t="s">
        <v>7</v>
      </c>
      <c r="E96" s="3" t="s">
        <v>8</v>
      </c>
      <c r="F96" s="3" t="s">
        <v>9</v>
      </c>
      <c r="T96" s="5"/>
      <c r="U96" s="5"/>
      <c r="V96" s="5"/>
      <c r="W96" s="5"/>
      <c r="X96" s="5"/>
      <c r="Y96" s="5"/>
    </row>
    <row r="97" spans="1:25" x14ac:dyDescent="0.25">
      <c r="A97" s="3" t="s">
        <v>19</v>
      </c>
      <c r="B97" s="5" t="s">
        <v>139</v>
      </c>
      <c r="C97" s="5">
        <v>1203</v>
      </c>
      <c r="D97" s="5">
        <v>1223</v>
      </c>
      <c r="E97" s="5">
        <v>1224</v>
      </c>
      <c r="F97" s="5" t="s">
        <v>140</v>
      </c>
      <c r="T97" s="3" t="s">
        <v>4</v>
      </c>
      <c r="U97" s="3" t="s">
        <v>5</v>
      </c>
      <c r="V97" s="3" t="s">
        <v>6</v>
      </c>
      <c r="W97" s="3" t="s">
        <v>7</v>
      </c>
      <c r="X97" s="3" t="s">
        <v>8</v>
      </c>
      <c r="Y97" s="3" t="s">
        <v>9</v>
      </c>
    </row>
    <row r="98" spans="1:25" x14ac:dyDescent="0.25">
      <c r="A98" s="3" t="s">
        <v>24</v>
      </c>
      <c r="B98" s="5" t="s">
        <v>22</v>
      </c>
      <c r="C98" s="5" t="s">
        <v>141</v>
      </c>
      <c r="D98" s="5" t="s">
        <v>142</v>
      </c>
      <c r="E98" s="5" t="s">
        <v>143</v>
      </c>
      <c r="F98" s="5"/>
      <c r="T98" s="3" t="s">
        <v>19</v>
      </c>
      <c r="U98" s="5">
        <v>22425</v>
      </c>
      <c r="V98" s="5">
        <v>2799</v>
      </c>
      <c r="W98" s="5">
        <v>1216</v>
      </c>
      <c r="X98" s="5">
        <v>1010</v>
      </c>
      <c r="Y98" s="5" t="s">
        <v>28</v>
      </c>
    </row>
    <row r="99" spans="1:25" x14ac:dyDescent="0.25">
      <c r="A99" s="3" t="s">
        <v>29</v>
      </c>
      <c r="B99" s="5" t="s">
        <v>139</v>
      </c>
      <c r="C99" s="5" t="s">
        <v>144</v>
      </c>
      <c r="D99" s="5" t="s">
        <v>145</v>
      </c>
      <c r="E99" s="5" t="s">
        <v>146</v>
      </c>
      <c r="F99" s="5"/>
      <c r="T99" s="3" t="s">
        <v>24</v>
      </c>
      <c r="U99" s="5">
        <v>8160</v>
      </c>
      <c r="V99" s="5">
        <v>2965</v>
      </c>
      <c r="W99" s="5">
        <v>1174</v>
      </c>
      <c r="X99" s="5" t="s">
        <v>28</v>
      </c>
      <c r="Y99" s="5" t="s">
        <v>28</v>
      </c>
    </row>
    <row r="100" spans="1:25" x14ac:dyDescent="0.25">
      <c r="T100" s="3" t="s">
        <v>29</v>
      </c>
      <c r="U100" s="5">
        <v>52243</v>
      </c>
      <c r="V100" s="5">
        <v>4652</v>
      </c>
      <c r="W100" s="5">
        <v>1327</v>
      </c>
      <c r="X100" s="5" t="s">
        <v>28</v>
      </c>
      <c r="Y100" s="5" t="s">
        <v>28</v>
      </c>
    </row>
    <row r="102" spans="1:25" x14ac:dyDescent="0.25">
      <c r="T102" t="s">
        <v>147</v>
      </c>
    </row>
    <row r="103" spans="1:25" x14ac:dyDescent="0.25">
      <c r="D103" s="62" t="s">
        <v>148</v>
      </c>
      <c r="E103" t="s">
        <v>103</v>
      </c>
      <c r="F103" t="s">
        <v>118</v>
      </c>
      <c r="I103" s="62" t="s">
        <v>148</v>
      </c>
      <c r="J103" t="s">
        <v>118</v>
      </c>
      <c r="M103" t="s">
        <v>103</v>
      </c>
      <c r="N103" t="s">
        <v>149</v>
      </c>
      <c r="T103" s="3" t="s">
        <v>4</v>
      </c>
      <c r="U103" s="3" t="s">
        <v>5</v>
      </c>
      <c r="V103" s="3" t="s">
        <v>6</v>
      </c>
      <c r="W103" s="3" t="s">
        <v>7</v>
      </c>
      <c r="X103" s="3" t="s">
        <v>8</v>
      </c>
      <c r="Y103" s="3" t="s">
        <v>9</v>
      </c>
    </row>
    <row r="104" spans="1:25" x14ac:dyDescent="0.25">
      <c r="D104" t="s">
        <v>150</v>
      </c>
      <c r="E104" t="s">
        <v>22</v>
      </c>
      <c r="F104">
        <v>1203</v>
      </c>
      <c r="G104">
        <v>1223</v>
      </c>
      <c r="H104">
        <v>1224</v>
      </c>
      <c r="I104" t="s">
        <v>22</v>
      </c>
      <c r="J104" t="s">
        <v>141</v>
      </c>
      <c r="K104" t="s">
        <v>142</v>
      </c>
      <c r="L104" t="s">
        <v>143</v>
      </c>
      <c r="M104" t="s">
        <v>22</v>
      </c>
      <c r="N104" t="s">
        <v>141</v>
      </c>
      <c r="O104" t="s">
        <v>142</v>
      </c>
      <c r="P104" t="s">
        <v>143</v>
      </c>
      <c r="Q104" t="s">
        <v>151</v>
      </c>
      <c r="T104" s="3" t="s">
        <v>19</v>
      </c>
      <c r="U104" s="5" t="s">
        <v>152</v>
      </c>
      <c r="V104" s="5" t="s">
        <v>153</v>
      </c>
      <c r="W104" s="5" t="s">
        <v>154</v>
      </c>
      <c r="X104" s="5" t="s">
        <v>21</v>
      </c>
      <c r="Y104" s="5" t="s">
        <v>28</v>
      </c>
    </row>
    <row r="105" spans="1:25" x14ac:dyDescent="0.25">
      <c r="T105" s="3" t="s">
        <v>24</v>
      </c>
      <c r="U105" s="5" t="s">
        <v>155</v>
      </c>
      <c r="V105" s="5" t="s">
        <v>156</v>
      </c>
      <c r="W105" s="5" t="s">
        <v>157</v>
      </c>
      <c r="X105" s="5" t="s">
        <v>28</v>
      </c>
      <c r="Y105" s="5" t="s">
        <v>28</v>
      </c>
    </row>
    <row r="106" spans="1:25" x14ac:dyDescent="0.25">
      <c r="S106" t="s">
        <v>158</v>
      </c>
      <c r="T106" s="3" t="s">
        <v>29</v>
      </c>
      <c r="U106" s="5" t="s">
        <v>159</v>
      </c>
      <c r="V106" s="5" t="s">
        <v>160</v>
      </c>
      <c r="W106" s="5" t="s">
        <v>161</v>
      </c>
      <c r="X106" s="5" t="s">
        <v>28</v>
      </c>
      <c r="Y106" s="5" t="s">
        <v>28</v>
      </c>
    </row>
    <row r="108" spans="1:25" x14ac:dyDescent="0.25">
      <c r="A108" t="s">
        <v>162</v>
      </c>
      <c r="T108" t="s">
        <v>163</v>
      </c>
    </row>
    <row r="109" spans="1:25" x14ac:dyDescent="0.25">
      <c r="A109" s="3" t="s">
        <v>103</v>
      </c>
      <c r="T109" s="3" t="s">
        <v>4</v>
      </c>
      <c r="U109" s="3" t="s">
        <v>5</v>
      </c>
      <c r="V109" s="3" t="s">
        <v>6</v>
      </c>
      <c r="W109" s="3" t="s">
        <v>7</v>
      </c>
      <c r="X109" s="3" t="s">
        <v>8</v>
      </c>
      <c r="Y109" s="3" t="s">
        <v>9</v>
      </c>
    </row>
    <row r="110" spans="1:25" x14ac:dyDescent="0.25">
      <c r="A110" s="3" t="s">
        <v>4</v>
      </c>
      <c r="B110" s="3" t="s">
        <v>5</v>
      </c>
      <c r="C110" s="3" t="s">
        <v>6</v>
      </c>
      <c r="D110" s="3" t="s">
        <v>7</v>
      </c>
      <c r="E110" s="3" t="s">
        <v>8</v>
      </c>
      <c r="F110" s="3" t="s">
        <v>9</v>
      </c>
      <c r="T110" s="3" t="s">
        <v>19</v>
      </c>
      <c r="U110" s="5">
        <f>U98/$X$98</f>
        <v>22.202970297029704</v>
      </c>
      <c r="V110" s="5">
        <f>V98/$X$98</f>
        <v>2.7712871287128711</v>
      </c>
      <c r="W110" s="5">
        <f>W98/$X$98</f>
        <v>1.2039603960396039</v>
      </c>
      <c r="X110" s="5">
        <f>X98/$X$98</f>
        <v>1</v>
      </c>
      <c r="Y110" s="5" t="s">
        <v>28</v>
      </c>
    </row>
    <row r="111" spans="1:25" x14ac:dyDescent="0.25">
      <c r="A111" s="3" t="s">
        <v>19</v>
      </c>
      <c r="B111" s="5">
        <f>B77/$I$80</f>
        <v>668.31578947368416</v>
      </c>
      <c r="C111" s="5">
        <f>C77/$I$80</f>
        <v>1.0175438596491229</v>
      </c>
      <c r="D111" s="5">
        <f>D77/$I$80</f>
        <v>1</v>
      </c>
      <c r="E111" s="5">
        <f>E77/$I$80</f>
        <v>1.0350877192982457</v>
      </c>
      <c r="F111" s="5">
        <f>F77/$I$80</f>
        <v>1</v>
      </c>
      <c r="T111" s="3" t="s">
        <v>24</v>
      </c>
      <c r="U111" s="5">
        <f t="shared" ref="U111:W112" si="0">U99/$X$98</f>
        <v>8.0792079207920793</v>
      </c>
      <c r="V111" s="5">
        <f t="shared" si="0"/>
        <v>2.9356435643564356</v>
      </c>
      <c r="W111" s="5">
        <f t="shared" si="0"/>
        <v>1.1623762376237623</v>
      </c>
      <c r="X111" s="5"/>
      <c r="Y111" s="5" t="s">
        <v>28</v>
      </c>
    </row>
    <row r="112" spans="1:25" x14ac:dyDescent="0.25">
      <c r="A112" s="3" t="s">
        <v>24</v>
      </c>
      <c r="B112" s="5">
        <f t="shared" ref="B112:E113" si="1">B78/$I$80</f>
        <v>1.0877192982456141</v>
      </c>
      <c r="C112" s="5">
        <f t="shared" si="1"/>
        <v>1.1228070175438596</v>
      </c>
      <c r="D112" s="5">
        <f t="shared" si="1"/>
        <v>1</v>
      </c>
      <c r="E112" s="5">
        <f t="shared" si="1"/>
        <v>1.0350877192982457</v>
      </c>
      <c r="F112" s="5"/>
      <c r="T112" s="3" t="s">
        <v>29</v>
      </c>
      <c r="U112" s="5">
        <f t="shared" si="0"/>
        <v>51.725742574257424</v>
      </c>
      <c r="V112" s="5">
        <f t="shared" si="0"/>
        <v>4.6059405940594056</v>
      </c>
      <c r="W112" s="5">
        <f t="shared" si="0"/>
        <v>1.3138613861386139</v>
      </c>
      <c r="X112" s="5"/>
      <c r="Y112" s="5" t="s">
        <v>28</v>
      </c>
    </row>
    <row r="113" spans="1:6" x14ac:dyDescent="0.25">
      <c r="A113" s="3" t="s">
        <v>29</v>
      </c>
      <c r="B113" s="5">
        <f t="shared" si="1"/>
        <v>732.31578947368416</v>
      </c>
      <c r="C113" s="5">
        <f t="shared" si="1"/>
        <v>486.5263157894737</v>
      </c>
      <c r="D113" s="5">
        <f t="shared" si="1"/>
        <v>662.12280701754389</v>
      </c>
      <c r="E113" s="5">
        <f t="shared" si="1"/>
        <v>852.77192982456143</v>
      </c>
      <c r="F113" s="5"/>
    </row>
    <row r="116" spans="1:6" x14ac:dyDescent="0.25">
      <c r="A116" s="3" t="s">
        <v>118</v>
      </c>
    </row>
    <row r="117" spans="1:6" x14ac:dyDescent="0.25">
      <c r="A117" s="3" t="s">
        <v>4</v>
      </c>
      <c r="B117" s="3" t="s">
        <v>5</v>
      </c>
      <c r="C117" s="3" t="s">
        <v>6</v>
      </c>
      <c r="D117" s="3" t="s">
        <v>7</v>
      </c>
      <c r="E117" s="3" t="s">
        <v>8</v>
      </c>
      <c r="F117" s="3" t="s">
        <v>9</v>
      </c>
    </row>
    <row r="118" spans="1:6" s="4" customFormat="1" x14ac:dyDescent="0.25">
      <c r="A118" s="3" t="s">
        <v>19</v>
      </c>
      <c r="B118" s="5">
        <f>B84/$I$87</f>
        <v>1.1463414634146341</v>
      </c>
      <c r="C118" s="5">
        <f>C84/$I$87</f>
        <v>303.07317073170731</v>
      </c>
      <c r="D118" s="5">
        <f>D84/$I$87</f>
        <v>278.90243902439022</v>
      </c>
      <c r="E118" s="5">
        <f>E84/$I$87</f>
        <v>1127.0243902439024</v>
      </c>
      <c r="F118" s="5">
        <f>F84/$I$87</f>
        <v>0.68292682926829273</v>
      </c>
    </row>
    <row r="119" spans="1:6" x14ac:dyDescent="0.25">
      <c r="A119" s="3" t="s">
        <v>24</v>
      </c>
      <c r="B119" s="5">
        <f t="shared" ref="B119:E120" si="2">B85/$I$87</f>
        <v>0.87804878048780488</v>
      </c>
      <c r="C119" s="5">
        <f t="shared" si="2"/>
        <v>110.3170731707317</v>
      </c>
      <c r="D119" s="5">
        <f t="shared" si="2"/>
        <v>25.26829268292683</v>
      </c>
      <c r="E119" s="5">
        <f t="shared" si="2"/>
        <v>162.04878048780489</v>
      </c>
      <c r="F119" s="5"/>
    </row>
    <row r="120" spans="1:6" x14ac:dyDescent="0.25">
      <c r="A120" s="3" t="s">
        <v>29</v>
      </c>
      <c r="B120" s="5">
        <f t="shared" si="2"/>
        <v>1.1951219512195121</v>
      </c>
      <c r="C120" s="5">
        <f t="shared" si="2"/>
        <v>172.14634146341464</v>
      </c>
      <c r="D120" s="5">
        <f t="shared" si="2"/>
        <v>120.3170731707317</v>
      </c>
      <c r="E120" s="5">
        <f t="shared" si="2"/>
        <v>260.02439024390242</v>
      </c>
      <c r="F120" s="5"/>
    </row>
    <row r="123" spans="1:6" x14ac:dyDescent="0.25">
      <c r="A123" s="3" t="s">
        <v>101</v>
      </c>
    </row>
    <row r="124" spans="1:6" x14ac:dyDescent="0.25">
      <c r="A124" s="3" t="s">
        <v>4</v>
      </c>
      <c r="B124" s="3" t="s">
        <v>5</v>
      </c>
      <c r="C124" s="3" t="s">
        <v>6</v>
      </c>
      <c r="D124" s="3" t="s">
        <v>7</v>
      </c>
      <c r="E124" s="3" t="s">
        <v>8</v>
      </c>
      <c r="F124" s="3" t="s">
        <v>9</v>
      </c>
    </row>
    <row r="125" spans="1:6" x14ac:dyDescent="0.25">
      <c r="A125" s="3" t="s">
        <v>19</v>
      </c>
      <c r="B125" s="5">
        <f>B91/$I$94</f>
        <v>31.754098360655739</v>
      </c>
      <c r="C125" s="5">
        <f>C91/$I$94</f>
        <v>27.590163934426229</v>
      </c>
      <c r="D125" s="5">
        <f>D91/$I$94</f>
        <v>26.196721311475411</v>
      </c>
      <c r="E125" s="5">
        <f>E91/$I$94</f>
        <v>111.01639344262296</v>
      </c>
      <c r="F125" s="5">
        <f>F91/$I$94</f>
        <v>2.098360655737705</v>
      </c>
    </row>
    <row r="126" spans="1:6" x14ac:dyDescent="0.25">
      <c r="A126" s="3" t="s">
        <v>24</v>
      </c>
      <c r="B126" s="5">
        <f t="shared" ref="B126:E127" si="3">B92/$I$94</f>
        <v>2.3934426229508197</v>
      </c>
      <c r="C126" s="5">
        <f t="shared" si="3"/>
        <v>11.098360655737705</v>
      </c>
      <c r="D126" s="5">
        <f t="shared" si="3"/>
        <v>3.9344262295081966</v>
      </c>
      <c r="E126" s="5">
        <f t="shared" si="3"/>
        <v>14.180327868852459</v>
      </c>
      <c r="F126" s="5"/>
    </row>
    <row r="127" spans="1:6" x14ac:dyDescent="0.25">
      <c r="A127" s="3" t="s">
        <v>29</v>
      </c>
      <c r="B127" s="5">
        <f t="shared" si="3"/>
        <v>34.622950819672134</v>
      </c>
      <c r="C127" s="5">
        <f t="shared" si="3"/>
        <v>398.80327868852459</v>
      </c>
      <c r="D127" s="5">
        <f t="shared" si="3"/>
        <v>190.31147540983608</v>
      </c>
      <c r="E127" s="5">
        <f t="shared" si="3"/>
        <v>825.19672131147536</v>
      </c>
      <c r="F127" s="5"/>
    </row>
    <row r="130" spans="1:13" x14ac:dyDescent="0.25">
      <c r="A130" t="s">
        <v>164</v>
      </c>
      <c r="H130" t="s">
        <v>165</v>
      </c>
    </row>
    <row r="131" spans="1:13" x14ac:dyDescent="0.25">
      <c r="A131" s="3" t="s">
        <v>103</v>
      </c>
      <c r="H131" s="3" t="s">
        <v>103</v>
      </c>
    </row>
    <row r="132" spans="1:13" x14ac:dyDescent="0.25">
      <c r="A132" s="3" t="s">
        <v>4</v>
      </c>
      <c r="B132" s="3" t="s">
        <v>5</v>
      </c>
      <c r="C132" s="3" t="s">
        <v>6</v>
      </c>
      <c r="D132" s="3" t="s">
        <v>7</v>
      </c>
      <c r="E132" s="3" t="s">
        <v>8</v>
      </c>
      <c r="F132" s="3" t="s">
        <v>9</v>
      </c>
      <c r="H132" s="3" t="s">
        <v>4</v>
      </c>
      <c r="I132" s="3" t="s">
        <v>5</v>
      </c>
      <c r="J132" s="3" t="s">
        <v>6</v>
      </c>
      <c r="K132" s="3" t="s">
        <v>7</v>
      </c>
      <c r="L132" s="3" t="s">
        <v>8</v>
      </c>
      <c r="M132" s="3" t="s">
        <v>9</v>
      </c>
    </row>
    <row r="133" spans="1:13" x14ac:dyDescent="0.25">
      <c r="A133" s="3" t="s">
        <v>19</v>
      </c>
      <c r="B133" s="5">
        <f>B77/$B$79</f>
        <v>0.91260600833692684</v>
      </c>
      <c r="C133" s="5">
        <f>C77/$B$79</f>
        <v>1.3894878060466676E-3</v>
      </c>
      <c r="D133" s="5">
        <f>D77/$B$79</f>
        <v>1.3655311197355183E-3</v>
      </c>
      <c r="E133" s="5">
        <f>E77/$B$79</f>
        <v>1.4134444923578171E-3</v>
      </c>
      <c r="F133" s="5">
        <f>F77/$B$79</f>
        <v>1.3655311197355183E-3</v>
      </c>
      <c r="H133" s="3" t="s">
        <v>19</v>
      </c>
      <c r="I133" s="5">
        <f>B77/$F$77</f>
        <v>668.31578947368416</v>
      </c>
      <c r="J133" s="5">
        <f>C77/$F$77</f>
        <v>1.0175438596491229</v>
      </c>
      <c r="K133" s="5">
        <f>D77/$F$77</f>
        <v>1</v>
      </c>
      <c r="L133" s="5">
        <f>E77/$F$77</f>
        <v>1.0350877192982457</v>
      </c>
      <c r="M133" s="5">
        <f>F77/$F$77</f>
        <v>1</v>
      </c>
    </row>
    <row r="134" spans="1:13" x14ac:dyDescent="0.25">
      <c r="A134" s="3" t="s">
        <v>24</v>
      </c>
      <c r="B134" s="5">
        <f t="shared" ref="B134:E135" si="4">B78/$B$79</f>
        <v>1.4853145512912654E-3</v>
      </c>
      <c r="C134" s="5">
        <f t="shared" si="4"/>
        <v>1.5332279239135642E-3</v>
      </c>
      <c r="D134" s="5">
        <f t="shared" si="4"/>
        <v>1.3655311197355183E-3</v>
      </c>
      <c r="E134" s="5">
        <f t="shared" si="4"/>
        <v>1.4134444923578171E-3</v>
      </c>
      <c r="F134" s="5"/>
      <c r="H134" s="3" t="s">
        <v>24</v>
      </c>
      <c r="I134" s="5">
        <f t="shared" ref="I134:L135" si="5">B78/$F$77</f>
        <v>1.0877192982456141</v>
      </c>
      <c r="J134" s="5">
        <f t="shared" si="5"/>
        <v>1.1228070175438596</v>
      </c>
      <c r="K134" s="5">
        <f t="shared" si="5"/>
        <v>1</v>
      </c>
      <c r="L134" s="5">
        <f t="shared" si="5"/>
        <v>1.0350877192982457</v>
      </c>
      <c r="M134" s="5"/>
    </row>
    <row r="135" spans="1:13" x14ac:dyDescent="0.25">
      <c r="A135" s="3" t="s">
        <v>29</v>
      </c>
      <c r="B135" s="5">
        <f t="shared" si="4"/>
        <v>1</v>
      </c>
      <c r="C135" s="5">
        <f t="shared" si="4"/>
        <v>0.66436682478079634</v>
      </c>
      <c r="D135" s="5">
        <f t="shared" si="4"/>
        <v>0.90414929806909106</v>
      </c>
      <c r="E135" s="5">
        <f t="shared" si="4"/>
        <v>1.1644866082123522</v>
      </c>
      <c r="F135" s="5"/>
      <c r="H135" s="3" t="s">
        <v>29</v>
      </c>
      <c r="I135" s="5">
        <f t="shared" si="5"/>
        <v>732.31578947368416</v>
      </c>
      <c r="J135" s="5">
        <f t="shared" si="5"/>
        <v>486.5263157894737</v>
      </c>
      <c r="K135" s="5">
        <f t="shared" si="5"/>
        <v>662.12280701754389</v>
      </c>
      <c r="L135" s="5">
        <f t="shared" si="5"/>
        <v>852.77192982456143</v>
      </c>
      <c r="M135" s="5"/>
    </row>
    <row r="138" spans="1:13" x14ac:dyDescent="0.25">
      <c r="A138" s="3" t="s">
        <v>118</v>
      </c>
      <c r="H138" s="3" t="s">
        <v>118</v>
      </c>
    </row>
    <row r="139" spans="1:13" x14ac:dyDescent="0.25">
      <c r="A139" s="3" t="s">
        <v>4</v>
      </c>
      <c r="B139" s="3" t="s">
        <v>5</v>
      </c>
      <c r="C139" s="3" t="s">
        <v>6</v>
      </c>
      <c r="D139" s="3" t="s">
        <v>7</v>
      </c>
      <c r="E139" s="3" t="s">
        <v>8</v>
      </c>
      <c r="F139" s="3" t="s">
        <v>9</v>
      </c>
      <c r="H139" s="3" t="s">
        <v>4</v>
      </c>
      <c r="I139" s="3" t="s">
        <v>5</v>
      </c>
      <c r="J139" s="3" t="s">
        <v>6</v>
      </c>
      <c r="K139" s="3" t="s">
        <v>7</v>
      </c>
      <c r="L139" s="3" t="s">
        <v>8</v>
      </c>
      <c r="M139" s="3" t="s">
        <v>9</v>
      </c>
    </row>
    <row r="140" spans="1:13" x14ac:dyDescent="0.25">
      <c r="A140" s="3" t="s">
        <v>19</v>
      </c>
      <c r="B140" s="5">
        <f t="shared" ref="B140:C142" si="6">B84/$C$84</f>
        <v>3.7823917592145501E-3</v>
      </c>
      <c r="C140" s="5">
        <f t="shared" si="6"/>
        <v>1</v>
      </c>
      <c r="D140" s="5">
        <f>D84/$D$84</f>
        <v>1</v>
      </c>
      <c r="E140" s="5">
        <f>E84/$E$84</f>
        <v>1</v>
      </c>
      <c r="F140" s="5">
        <f>F84/$C$84</f>
        <v>2.2533397714469662E-3</v>
      </c>
      <c r="H140" s="3" t="s">
        <v>19</v>
      </c>
      <c r="I140" s="5">
        <f>B84/$F$84</f>
        <v>1.6785714285714286</v>
      </c>
      <c r="J140" s="5">
        <f>C84/$F$84</f>
        <v>443.78571428571428</v>
      </c>
      <c r="K140" s="5">
        <f>D84/$F$84</f>
        <v>408.39285714285717</v>
      </c>
      <c r="L140" s="5">
        <f>E84/$F$84</f>
        <v>1650.2857142857142</v>
      </c>
      <c r="M140" s="5">
        <f>F84/$F$84</f>
        <v>1</v>
      </c>
    </row>
    <row r="141" spans="1:13" x14ac:dyDescent="0.25">
      <c r="A141" s="3" t="s">
        <v>24</v>
      </c>
      <c r="B141" s="5">
        <f t="shared" si="6"/>
        <v>2.8971511347175277E-3</v>
      </c>
      <c r="C141" s="5">
        <f t="shared" si="6"/>
        <v>0.36399484950909383</v>
      </c>
      <c r="D141" s="5">
        <f>D85/$D$84</f>
        <v>9.0599038041101879E-2</v>
      </c>
      <c r="E141" s="5">
        <f>E85/$E$84</f>
        <v>0.14378462603878117</v>
      </c>
      <c r="F141" s="5"/>
      <c r="H141" s="3" t="s">
        <v>24</v>
      </c>
      <c r="I141" s="5">
        <f t="shared" ref="I141:L142" si="7">B85/$F$84</f>
        <v>1.2857142857142858</v>
      </c>
      <c r="J141" s="5">
        <f t="shared" si="7"/>
        <v>161.53571428571428</v>
      </c>
      <c r="K141" s="5">
        <f t="shared" si="7"/>
        <v>37</v>
      </c>
      <c r="L141" s="5">
        <f t="shared" si="7"/>
        <v>237.28571428571428</v>
      </c>
      <c r="M141" s="5"/>
    </row>
    <row r="142" spans="1:13" x14ac:dyDescent="0.25">
      <c r="A142" s="3" t="s">
        <v>29</v>
      </c>
      <c r="B142" s="5">
        <f t="shared" si="6"/>
        <v>3.9433446000321903E-3</v>
      </c>
      <c r="C142" s="5">
        <f t="shared" si="6"/>
        <v>0.56800257524545306</v>
      </c>
      <c r="D142" s="5">
        <f>D86/$D$84</f>
        <v>0.43139484040227372</v>
      </c>
      <c r="E142" s="5">
        <f>E86/$E$84</f>
        <v>0.2307176246537396</v>
      </c>
      <c r="F142" s="5"/>
      <c r="H142" s="3" t="s">
        <v>29</v>
      </c>
      <c r="I142" s="5">
        <f t="shared" si="7"/>
        <v>1.75</v>
      </c>
      <c r="J142" s="5">
        <f t="shared" si="7"/>
        <v>252.07142857142858</v>
      </c>
      <c r="K142" s="5">
        <f t="shared" si="7"/>
        <v>176.17857142857142</v>
      </c>
      <c r="L142" s="5">
        <f t="shared" si="7"/>
        <v>380.75</v>
      </c>
      <c r="M142" s="5"/>
    </row>
    <row r="145" spans="1:13" x14ac:dyDescent="0.25">
      <c r="A145" s="3" t="s">
        <v>101</v>
      </c>
      <c r="H145" s="3" t="s">
        <v>101</v>
      </c>
    </row>
    <row r="146" spans="1:13" x14ac:dyDescent="0.25">
      <c r="A146" s="3" t="s">
        <v>4</v>
      </c>
      <c r="B146" s="3" t="s">
        <v>5</v>
      </c>
      <c r="C146" s="3" t="s">
        <v>6</v>
      </c>
      <c r="D146" s="3" t="s">
        <v>7</v>
      </c>
      <c r="E146" s="3" t="s">
        <v>8</v>
      </c>
      <c r="F146" s="3" t="s">
        <v>9</v>
      </c>
      <c r="H146" s="3" t="s">
        <v>4</v>
      </c>
      <c r="I146" s="3" t="s">
        <v>5</v>
      </c>
      <c r="J146" s="3" t="s">
        <v>6</v>
      </c>
      <c r="K146" s="3" t="s">
        <v>7</v>
      </c>
      <c r="L146" s="3" t="s">
        <v>8</v>
      </c>
      <c r="M146" s="3" t="s">
        <v>9</v>
      </c>
    </row>
    <row r="147" spans="1:13" x14ac:dyDescent="0.25">
      <c r="A147" s="3" t="s">
        <v>19</v>
      </c>
      <c r="B147" s="5">
        <f>B113/$I$94</f>
        <v>12.005176876617773</v>
      </c>
      <c r="C147" s="5">
        <f>C113/$I$94</f>
        <v>7.9758412424503886</v>
      </c>
      <c r="D147" s="5">
        <f>D113/$I$94</f>
        <v>10.854472246189244</v>
      </c>
      <c r="E147" s="5">
        <f>E113/$I$94</f>
        <v>13.979867702041991</v>
      </c>
      <c r="F147" s="5">
        <f>F113/$I$94</f>
        <v>0</v>
      </c>
      <c r="H147" s="3" t="s">
        <v>19</v>
      </c>
      <c r="I147" s="5">
        <f>B91/$F$91</f>
        <v>15.1328125</v>
      </c>
      <c r="J147" s="5">
        <f>C91/$F$91</f>
        <v>13.1484375</v>
      </c>
      <c r="K147" s="5">
        <f>D91/$F$91</f>
        <v>12.484375</v>
      </c>
      <c r="L147" s="5">
        <f>E91/$F$91</f>
        <v>52.90625</v>
      </c>
      <c r="M147" s="5">
        <f>F91/$F$91</f>
        <v>1</v>
      </c>
    </row>
    <row r="148" spans="1:13" x14ac:dyDescent="0.25">
      <c r="A148" s="3" t="s">
        <v>24</v>
      </c>
      <c r="B148" s="5">
        <f t="shared" ref="B148:E149" si="8">B114/$I$94</f>
        <v>0</v>
      </c>
      <c r="C148" s="5">
        <f t="shared" si="8"/>
        <v>0</v>
      </c>
      <c r="D148" s="5">
        <f t="shared" si="8"/>
        <v>0</v>
      </c>
      <c r="E148" s="5">
        <f t="shared" si="8"/>
        <v>0</v>
      </c>
      <c r="F148" s="5"/>
      <c r="H148" s="3" t="s">
        <v>24</v>
      </c>
      <c r="I148" s="5">
        <f t="shared" ref="I148:L149" si="9">B92/$F$91</f>
        <v>1.140625</v>
      </c>
      <c r="J148" s="5">
        <f t="shared" si="9"/>
        <v>5.2890625</v>
      </c>
      <c r="K148" s="5">
        <f t="shared" si="9"/>
        <v>1.875</v>
      </c>
      <c r="L148" s="5">
        <f t="shared" si="9"/>
        <v>6.7578125</v>
      </c>
      <c r="M148" s="5"/>
    </row>
    <row r="149" spans="1:13" x14ac:dyDescent="0.25">
      <c r="A149" s="3" t="s">
        <v>29</v>
      </c>
      <c r="B149" s="5">
        <f t="shared" si="8"/>
        <v>0</v>
      </c>
      <c r="C149" s="5">
        <f t="shared" si="8"/>
        <v>0</v>
      </c>
      <c r="D149" s="5">
        <f t="shared" si="8"/>
        <v>0</v>
      </c>
      <c r="E149" s="5">
        <f t="shared" si="8"/>
        <v>0</v>
      </c>
      <c r="F149" s="5"/>
      <c r="H149" s="3" t="s">
        <v>29</v>
      </c>
      <c r="I149" s="5">
        <f t="shared" si="9"/>
        <v>16.5</v>
      </c>
      <c r="J149" s="5">
        <f t="shared" si="9"/>
        <v>190.0546875</v>
      </c>
      <c r="K149" s="5">
        <f t="shared" si="9"/>
        <v>90.6953125</v>
      </c>
      <c r="L149" s="5">
        <f t="shared" si="9"/>
        <v>393.2578125</v>
      </c>
      <c r="M149" s="5"/>
    </row>
  </sheetData>
  <mergeCells count="34">
    <mergeCell ref="G57:G58"/>
    <mergeCell ref="Y57:Y58"/>
    <mergeCell ref="J61:K61"/>
    <mergeCell ref="AB61:AC61"/>
    <mergeCell ref="G45:G46"/>
    <mergeCell ref="Y45:Y46"/>
    <mergeCell ref="J49:K49"/>
    <mergeCell ref="AB49:AC49"/>
    <mergeCell ref="B53:B54"/>
    <mergeCell ref="C53:C54"/>
    <mergeCell ref="D53:D54"/>
    <mergeCell ref="T53:T54"/>
    <mergeCell ref="U53:U54"/>
    <mergeCell ref="V53:V54"/>
    <mergeCell ref="AB37:AC37"/>
    <mergeCell ref="B41:B42"/>
    <mergeCell ref="C41:C42"/>
    <mergeCell ref="D41:D42"/>
    <mergeCell ref="T41:T42"/>
    <mergeCell ref="U41:U42"/>
    <mergeCell ref="V41:V42"/>
    <mergeCell ref="U29:U30"/>
    <mergeCell ref="V29:V30"/>
    <mergeCell ref="G33:G34"/>
    <mergeCell ref="Y33:Y34"/>
    <mergeCell ref="I36:I37"/>
    <mergeCell ref="AA36:AA37"/>
    <mergeCell ref="J37:K37"/>
    <mergeCell ref="E5:F5"/>
    <mergeCell ref="E7:F7"/>
    <mergeCell ref="B29:B30"/>
    <mergeCell ref="C29:C30"/>
    <mergeCell ref="D29:D30"/>
    <mergeCell ref="T29:T30"/>
  </mergeCells>
  <hyperlinks>
    <hyperlink ref="J12" r:id="rId1"/>
  </hyperlinks>
  <pageMargins left="0.7" right="0.7" top="0.78740157499999996" bottom="0.78740157499999996" header="0.3" footer="0.3"/>
  <pageSetup paperSize="9" scale="16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FRET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doweph</dc:creator>
  <cp:lastModifiedBy>doweph</cp:lastModifiedBy>
  <dcterms:created xsi:type="dcterms:W3CDTF">2018-11-29T12:30:17Z</dcterms:created>
  <dcterms:modified xsi:type="dcterms:W3CDTF">2018-11-29T12:30:44Z</dcterms:modified>
</cp:coreProperties>
</file>