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Bla\OneDrive\Dokumente\Netziges\MorphoNets\already on figshare\"/>
    </mc:Choice>
  </mc:AlternateContent>
  <xr:revisionPtr revIDLastSave="42" documentId="11_4DCB20D8986BD7BAA2FFD463841BD3EF0070CD81" xr6:coauthVersionLast="34" xr6:coauthVersionMax="34" xr10:uidLastSave="{2296EFB9-B7CA-4123-8B37-81C37AC82464}"/>
  <bookViews>
    <workbookView xWindow="480" yWindow="360" windowWidth="19320" windowHeight="13620" xr2:uid="{00000000-000D-0000-FFFF-FFFF00000000}"/>
  </bookViews>
  <sheets>
    <sheet name="Data situation" sheetId="3" r:id="rId1"/>
    <sheet name="TreeRecon" sheetId="2" r:id="rId2"/>
    <sheet name="Null distances" sheetId="1" r:id="rId3"/>
  </sheets>
  <definedNames>
    <definedName name="_xlnm._FilterDatabase" localSheetId="0" hidden="1">'Data situation'!$A$1:$Z$29</definedName>
    <definedName name="_xlnm._FilterDatabase" localSheetId="1" hidden="1">TreeRecon!$A$2:$Z$28</definedName>
  </definedName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" i="2" l="1"/>
  <c r="V3" i="2"/>
  <c r="V4" i="2"/>
  <c r="V5" i="2"/>
  <c r="V6" i="2"/>
  <c r="V7" i="2"/>
  <c r="V8" i="2"/>
  <c r="V9" i="2"/>
  <c r="V10" i="2"/>
  <c r="V13" i="2"/>
  <c r="V19" i="2"/>
  <c r="V20" i="2"/>
  <c r="V21" i="2"/>
  <c r="V22" i="2"/>
  <c r="V23" i="2"/>
  <c r="V24" i="2"/>
  <c r="V25" i="2"/>
  <c r="V26" i="2"/>
  <c r="V27" i="2"/>
  <c r="V28" i="2"/>
  <c r="Q21" i="3"/>
  <c r="P21" i="3"/>
  <c r="N20" i="2"/>
  <c r="U21" i="3"/>
  <c r="G21" i="3"/>
  <c r="C21" i="3"/>
  <c r="J21" i="3"/>
  <c r="D21" i="3"/>
  <c r="F21" i="3"/>
  <c r="B21" i="3"/>
  <c r="Y24" i="2"/>
  <c r="N24" i="2"/>
  <c r="Q24" i="2"/>
  <c r="I16" i="2"/>
  <c r="I24" i="2"/>
  <c r="B25" i="3"/>
  <c r="U25" i="3"/>
  <c r="Q25" i="3"/>
  <c r="P25" i="3"/>
  <c r="G25" i="3"/>
  <c r="D25" i="3"/>
  <c r="C25" i="3"/>
  <c r="F25" i="3"/>
  <c r="U2" i="3"/>
  <c r="U3" i="3"/>
  <c r="U4" i="3"/>
  <c r="U5" i="3"/>
  <c r="U6" i="3"/>
  <c r="U8" i="3"/>
  <c r="U9" i="3"/>
  <c r="U10" i="3"/>
  <c r="U14" i="3"/>
  <c r="U15" i="3"/>
  <c r="U17" i="3"/>
  <c r="U18" i="3"/>
  <c r="U19" i="3"/>
  <c r="U20" i="3"/>
  <c r="U22" i="3"/>
  <c r="U23" i="3"/>
  <c r="U24" i="3"/>
  <c r="U26" i="3"/>
  <c r="U27" i="3"/>
  <c r="U28" i="3"/>
  <c r="U29" i="3"/>
  <c r="Y28" i="2"/>
  <c r="Y27" i="2"/>
  <c r="Y26" i="2"/>
  <c r="Y25" i="2"/>
  <c r="Y23" i="2"/>
  <c r="Y22" i="2"/>
  <c r="Y21" i="2"/>
  <c r="Y19" i="2"/>
  <c r="Y13" i="2"/>
  <c r="Y10" i="2"/>
  <c r="Y9" i="2"/>
  <c r="Y8" i="2"/>
  <c r="Y7" i="2"/>
  <c r="Y6" i="2"/>
  <c r="Y5" i="2"/>
  <c r="Y4" i="2"/>
  <c r="Y3" i="2"/>
  <c r="N3" i="2"/>
  <c r="N4" i="2"/>
  <c r="N5" i="2"/>
  <c r="N6" i="2"/>
  <c r="N7" i="2"/>
  <c r="N8" i="2"/>
  <c r="N9" i="2"/>
  <c r="N10" i="2"/>
  <c r="N13" i="2"/>
  <c r="N19" i="2"/>
  <c r="N21" i="2"/>
  <c r="N22" i="2"/>
  <c r="N23" i="2"/>
  <c r="N25" i="2"/>
  <c r="N26" i="2"/>
  <c r="N27" i="2"/>
  <c r="N28" i="2"/>
  <c r="I23" i="2"/>
  <c r="I22" i="2"/>
  <c r="I21" i="2"/>
  <c r="I4" i="2"/>
  <c r="Q24" i="3"/>
  <c r="P24" i="3"/>
  <c r="O24" i="3"/>
  <c r="Q23" i="3"/>
  <c r="P23" i="3"/>
  <c r="O23" i="3"/>
  <c r="Q22" i="3"/>
  <c r="P22" i="3"/>
  <c r="J15" i="3"/>
  <c r="J17" i="3"/>
  <c r="J18" i="3"/>
  <c r="J19" i="3"/>
  <c r="G24" i="3"/>
  <c r="C24" i="3"/>
  <c r="J24" i="3"/>
  <c r="G26" i="3"/>
  <c r="C26" i="3"/>
  <c r="J26" i="3"/>
  <c r="B24" i="3"/>
  <c r="B26" i="3"/>
  <c r="D24" i="3"/>
  <c r="F24" i="3"/>
  <c r="G23" i="3"/>
  <c r="C23" i="3"/>
  <c r="J23" i="3"/>
  <c r="G22" i="3"/>
  <c r="D23" i="3"/>
  <c r="F23" i="3"/>
  <c r="B23" i="3"/>
  <c r="O22" i="3"/>
  <c r="D22" i="3"/>
  <c r="C22" i="3"/>
  <c r="F22" i="3"/>
  <c r="B22" i="3"/>
  <c r="D3" i="3"/>
  <c r="C3" i="3"/>
  <c r="F3" i="3"/>
  <c r="J3" i="3"/>
  <c r="B3" i="3"/>
  <c r="I28" i="2"/>
  <c r="I27" i="2"/>
  <c r="I25" i="2"/>
  <c r="I19" i="2"/>
  <c r="I13" i="2"/>
  <c r="I6" i="2"/>
  <c r="I3" i="2"/>
  <c r="T18" i="2"/>
  <c r="S18" i="2"/>
  <c r="Q18" i="2"/>
  <c r="T17" i="2"/>
  <c r="S17" i="2"/>
  <c r="Q17" i="2"/>
  <c r="T16" i="2"/>
  <c r="S16" i="2"/>
  <c r="Q16" i="2"/>
  <c r="T15" i="2"/>
  <c r="S15" i="2"/>
  <c r="Q15" i="2"/>
  <c r="I18" i="2"/>
  <c r="H18" i="2"/>
  <c r="G18" i="2"/>
  <c r="F18" i="2"/>
  <c r="D18" i="2"/>
  <c r="A18" i="2"/>
  <c r="I17" i="2"/>
  <c r="H17" i="2"/>
  <c r="G17" i="2"/>
  <c r="F17" i="2"/>
  <c r="D17" i="2"/>
  <c r="A17" i="2"/>
  <c r="H16" i="2"/>
  <c r="G16" i="2"/>
  <c r="F16" i="2"/>
  <c r="D16" i="2"/>
  <c r="A16" i="2"/>
  <c r="A15" i="2"/>
  <c r="I15" i="2"/>
  <c r="H15" i="2"/>
  <c r="F15" i="2"/>
  <c r="I26" i="2"/>
  <c r="I14" i="2"/>
  <c r="I10" i="2"/>
  <c r="I9" i="2"/>
  <c r="I8" i="2"/>
  <c r="I7" i="2"/>
  <c r="I5" i="2"/>
  <c r="S14" i="2"/>
  <c r="T14" i="2"/>
  <c r="Q14" i="2"/>
  <c r="H14" i="2"/>
  <c r="G14" i="2"/>
  <c r="F14" i="2"/>
  <c r="D14" i="2"/>
  <c r="V14" i="2"/>
  <c r="N14" i="2"/>
  <c r="M7" i="3"/>
  <c r="H6" i="3"/>
  <c r="M11" i="3"/>
  <c r="Z16" i="3"/>
  <c r="Y16" i="3"/>
  <c r="I11" i="3"/>
  <c r="I7" i="3"/>
  <c r="I16" i="3"/>
  <c r="M16" i="3"/>
  <c r="N15" i="3"/>
  <c r="N17" i="3"/>
  <c r="N18" i="3"/>
  <c r="N19" i="3"/>
  <c r="M4" i="3"/>
  <c r="L15" i="3"/>
  <c r="L17" i="3"/>
  <c r="L18" i="3"/>
  <c r="L19" i="3"/>
  <c r="K13" i="3"/>
  <c r="C13" i="3"/>
  <c r="D13" i="3"/>
  <c r="L13" i="3"/>
  <c r="K12" i="3"/>
  <c r="K4" i="3"/>
  <c r="F15" i="3"/>
  <c r="F17" i="3"/>
  <c r="F18" i="3"/>
  <c r="F19" i="3"/>
  <c r="D29" i="3"/>
  <c r="C29" i="3"/>
  <c r="J29" i="3"/>
  <c r="D28" i="3"/>
  <c r="C28" i="3"/>
  <c r="J28" i="3"/>
  <c r="D27" i="3"/>
  <c r="N27" i="3"/>
  <c r="C27" i="3"/>
  <c r="L27" i="3"/>
  <c r="J27" i="3"/>
  <c r="D26" i="3"/>
  <c r="F26" i="3"/>
  <c r="D9" i="3"/>
  <c r="N9" i="3"/>
  <c r="C9" i="3"/>
  <c r="F9" i="3"/>
  <c r="J9" i="3"/>
  <c r="D20" i="3"/>
  <c r="C20" i="3"/>
  <c r="F20" i="3"/>
  <c r="D16" i="3"/>
  <c r="G15" i="2"/>
  <c r="C16" i="3"/>
  <c r="D15" i="2"/>
  <c r="F16" i="3"/>
  <c r="D14" i="3"/>
  <c r="C14" i="3"/>
  <c r="F14" i="3"/>
  <c r="N13" i="3"/>
  <c r="F13" i="3"/>
  <c r="D12" i="3"/>
  <c r="N12" i="3"/>
  <c r="C12" i="3"/>
  <c r="F12" i="3"/>
  <c r="C11" i="3"/>
  <c r="F11" i="3"/>
  <c r="D10" i="3"/>
  <c r="N10" i="3"/>
  <c r="C10" i="3"/>
  <c r="G10" i="3"/>
  <c r="J10" i="3"/>
  <c r="D8" i="3"/>
  <c r="C8" i="3"/>
  <c r="L8" i="3"/>
  <c r="N8" i="3"/>
  <c r="J8" i="3"/>
  <c r="D7" i="3"/>
  <c r="C7" i="3"/>
  <c r="E7" i="3"/>
  <c r="D6" i="3"/>
  <c r="N6" i="3"/>
  <c r="C6" i="3"/>
  <c r="J6" i="3"/>
  <c r="D5" i="3"/>
  <c r="C5" i="3"/>
  <c r="F5" i="3"/>
  <c r="D4" i="3"/>
  <c r="C4" i="3"/>
  <c r="F4" i="3"/>
  <c r="J4" i="3"/>
  <c r="D2" i="3"/>
  <c r="C2" i="3"/>
  <c r="F2" i="3"/>
  <c r="H15" i="3"/>
  <c r="Z27" i="3"/>
  <c r="Y27" i="3"/>
  <c r="W27" i="3"/>
  <c r="V27" i="3"/>
  <c r="W9" i="3"/>
  <c r="V9" i="3"/>
  <c r="W19" i="3"/>
  <c r="V19" i="3"/>
  <c r="W8" i="3"/>
  <c r="V8" i="3"/>
  <c r="Z18" i="3"/>
  <c r="Y18" i="3"/>
  <c r="W18" i="3"/>
  <c r="V18" i="3"/>
  <c r="Z17" i="3"/>
  <c r="Y17" i="3"/>
  <c r="W17" i="3"/>
  <c r="V17" i="3"/>
  <c r="Z15" i="3"/>
  <c r="Y15" i="3"/>
  <c r="Z10" i="3"/>
  <c r="Y10" i="3"/>
  <c r="W10" i="3"/>
  <c r="V10" i="3"/>
  <c r="Z6" i="3"/>
  <c r="Y6" i="3"/>
  <c r="W6" i="3"/>
  <c r="V6" i="3"/>
  <c r="Z4" i="3"/>
  <c r="Y4" i="3"/>
  <c r="W4" i="3"/>
  <c r="V4" i="3"/>
  <c r="D11" i="3"/>
  <c r="J9" i="2"/>
  <c r="K9" i="2"/>
  <c r="L9" i="2"/>
  <c r="H13" i="2"/>
  <c r="L10" i="3"/>
  <c r="N4" i="3"/>
  <c r="J5" i="3"/>
  <c r="F8" i="3"/>
  <c r="J22" i="3"/>
  <c r="L9" i="3"/>
  <c r="J20" i="3"/>
  <c r="F28" i="3"/>
  <c r="J2" i="3"/>
  <c r="F27" i="3"/>
  <c r="O21" i="3"/>
  <c r="N7" i="3"/>
  <c r="J11" i="3"/>
  <c r="F7" i="3"/>
  <c r="N11" i="3"/>
  <c r="N16" i="3"/>
  <c r="Y14" i="2"/>
  <c r="J14" i="3"/>
  <c r="J25" i="3"/>
  <c r="L12" i="3"/>
  <c r="L4" i="3"/>
  <c r="F10" i="3"/>
  <c r="F29" i="3"/>
  <c r="L6" i="3"/>
  <c r="F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Bruder Grimm</author>
  </authors>
  <commentList>
    <comment ref="P2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Only 2000 Bootstrapreplicates</t>
        </r>
      </text>
    </comment>
  </commentList>
</comments>
</file>

<file path=xl/sharedStrings.xml><?xml version="1.0" encoding="utf-8"?>
<sst xmlns="http://schemas.openxmlformats.org/spreadsheetml/2006/main" count="897" uniqueCount="220">
  <si>
    <t>Data matrix</t>
  </si>
  <si>
    <t>Zelkova</t>
  </si>
  <si>
    <t>Null distance pairs</t>
  </si>
  <si>
    <t>A. obtusifolium + A. sempervirens</t>
  </si>
  <si>
    <r>
      <t>Palaeoplatycarya</t>
    </r>
    <r>
      <rPr>
        <sz val="12"/>
        <rFont val="Times New Roman"/>
        <family val="1"/>
      </rPr>
      <t xml:space="preserve">† + </t>
    </r>
    <r>
      <rPr>
        <i/>
        <sz val="12"/>
        <rFont val="Times New Roman"/>
        <family val="1"/>
      </rPr>
      <t>Platycarya americana</t>
    </r>
    <r>
      <rPr>
        <sz val="12"/>
        <rFont val="Times New Roman"/>
        <family val="1"/>
      </rPr>
      <t>†</t>
    </r>
  </si>
  <si>
    <t>Oreomunnea mexicana + O. pterocarpa</t>
  </si>
  <si>
    <t>Alfaroa costaricensis, A. guanacastensis, A. williamsii</t>
  </si>
  <si>
    <t>Juglans microcarpa + J. nigra</t>
  </si>
  <si>
    <t>Carya cathayensis + C. tonkinensis</t>
  </si>
  <si>
    <t>Carya cordiformis + C. ovata</t>
  </si>
  <si>
    <t>Carya glabra, C. myristiciformis, C. tomenstosa</t>
  </si>
  <si>
    <t>Charcoalified seeds† + Erdtmanithecales†</t>
  </si>
  <si>
    <r>
      <t xml:space="preserve">Charcoalified seeds† + </t>
    </r>
    <r>
      <rPr>
        <i/>
        <sz val="12"/>
        <rFont val="Times New Roman"/>
        <family val="1"/>
      </rPr>
      <t>Gnetum</t>
    </r>
  </si>
  <si>
    <t>In … of MPT</t>
  </si>
  <si>
    <t>Yes</t>
  </si>
  <si>
    <t>N (characters)</t>
  </si>
  <si>
    <t>RI</t>
  </si>
  <si>
    <r>
      <t>BS</t>
    </r>
    <r>
      <rPr>
        <vertAlign val="subscript"/>
        <sz val="12"/>
        <rFont val="Times New Roman"/>
        <family val="1"/>
      </rPr>
      <t>P</t>
    </r>
  </si>
  <si>
    <t>Recognized as sister taxa, respectively forming a clade</t>
  </si>
  <si>
    <r>
      <t>BS</t>
    </r>
    <r>
      <rPr>
        <vertAlign val="subscript"/>
        <sz val="12"/>
        <rFont val="Times New Roman"/>
        <family val="1"/>
      </rPr>
      <t>NJ</t>
    </r>
  </si>
  <si>
    <t>BioNJ tree</t>
  </si>
  <si>
    <t>Length (L)</t>
  </si>
  <si>
    <t>Outgroup taxa in matrix</t>
  </si>
  <si>
    <t>None</t>
  </si>
  <si>
    <t>CI (excluding PunIS)</t>
  </si>
  <si>
    <t>Search strategy</t>
  </si>
  <si>
    <t>B&amp;B</t>
  </si>
  <si>
    <t>Heuristic</t>
  </si>
  <si>
    <t>N/A</t>
  </si>
  <si>
    <t>CI, BioNJ topology</t>
  </si>
  <si>
    <t>RI, BioNJ topology</t>
  </si>
  <si>
    <t>1(3)</t>
  </si>
  <si>
    <t>Unresolved</t>
  </si>
  <si>
    <t>&lt;5</t>
  </si>
  <si>
    <r>
      <t xml:space="preserve">Charcoalified seeds† included in a </t>
    </r>
    <r>
      <rPr>
        <i/>
        <sz val="12"/>
        <rFont val="Times New Roman"/>
        <family val="1"/>
      </rPr>
      <t>Erdtm.-Gnetales</t>
    </r>
    <r>
      <rPr>
        <sz val="12"/>
        <rFont val="Times New Roman"/>
        <family val="1"/>
      </rPr>
      <t>clade</t>
    </r>
  </si>
  <si>
    <t>No</t>
  </si>
  <si>
    <t>All</t>
  </si>
  <si>
    <t>?</t>
  </si>
  <si>
    <r>
      <t xml:space="preserve">a </t>
    </r>
    <r>
      <rPr>
        <sz val="12"/>
        <rFont val="Times New Roman"/>
        <family val="1"/>
      </rPr>
      <t>Parsimony results and character matrix taken from Friis et al., 2007</t>
    </r>
  </si>
  <si>
    <r>
      <t>1</t>
    </r>
    <r>
      <rPr>
        <vertAlign val="superscript"/>
        <sz val="12"/>
        <rFont val="Times New Roman"/>
        <family val="1"/>
      </rPr>
      <t>b</t>
    </r>
  </si>
  <si>
    <r>
      <t xml:space="preserve">b </t>
    </r>
    <r>
      <rPr>
        <sz val="12"/>
        <rFont val="Times New Roman"/>
        <family val="1"/>
      </rPr>
      <t>Artificial taxon "other Spermatophytes" exhibiting always the assumed non-derived state</t>
    </r>
  </si>
  <si>
    <t>Number of extinct taxa</t>
  </si>
  <si>
    <t>Type</t>
  </si>
  <si>
    <t>Intrageneric</t>
  </si>
  <si>
    <t>Intraordial</t>
  </si>
  <si>
    <t>Intrafamiliar</t>
  </si>
  <si>
    <t>Large scale</t>
  </si>
  <si>
    <t>N(MPT, without duplicates)</t>
  </si>
  <si>
    <t>N (parsimony informative characters)</t>
  </si>
  <si>
    <t>Macrozamia + Lepidozamia</t>
  </si>
  <si>
    <t>Synthyris dissecta + S. lanuginosa</t>
  </si>
  <si>
    <t>S. major, S. missurica, S. ranunculina, S. stellata</t>
  </si>
  <si>
    <r>
      <t xml:space="preserve">Besseya bullii, B. wyomingensis </t>
    </r>
    <r>
      <rPr>
        <sz val="12"/>
        <rFont val="Times New Roman"/>
        <family val="1"/>
      </rPr>
      <t>indiv. 1909, 2194, and 2195</t>
    </r>
  </si>
  <si>
    <r>
      <t xml:space="preserve">B. rubra, B. wyomingensis </t>
    </r>
    <r>
      <rPr>
        <sz val="12"/>
        <rFont val="Times New Roman"/>
        <family val="1"/>
      </rPr>
      <t>indiv. 1936, 2168, and 2197</t>
    </r>
  </si>
  <si>
    <t>A. queenslandicus + A. vanbruggenii</t>
  </si>
  <si>
    <t>Aponogeton longiplumulosus + A. madagascariensis</t>
  </si>
  <si>
    <r>
      <t xml:space="preserve">Les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>(2005)</t>
    </r>
  </si>
  <si>
    <t>Group</t>
  </si>
  <si>
    <r>
      <t xml:space="preserve">Acer </t>
    </r>
    <r>
      <rPr>
        <sz val="12"/>
        <rFont val="Times New Roman"/>
        <family val="1"/>
      </rPr>
      <t xml:space="preserve">section </t>
    </r>
    <r>
      <rPr>
        <i/>
        <sz val="12"/>
        <rFont val="Times New Roman"/>
        <family val="1"/>
      </rPr>
      <t>Acer</t>
    </r>
  </si>
  <si>
    <t>Extant Cycadales</t>
  </si>
  <si>
    <r>
      <t xml:space="preserve">Extant and fossil </t>
    </r>
    <r>
      <rPr>
        <i/>
        <sz val="12"/>
        <rFont val="Times New Roman"/>
        <family val="1"/>
      </rPr>
      <t>Fagus</t>
    </r>
  </si>
  <si>
    <t>Extant + fossil Cycadophytes</t>
  </si>
  <si>
    <r>
      <t xml:space="preserve">Australian </t>
    </r>
    <r>
      <rPr>
        <i/>
        <sz val="12"/>
        <rFont val="Times New Roman"/>
        <family val="1"/>
      </rPr>
      <t>Aponogeton</t>
    </r>
  </si>
  <si>
    <t>Extant + fossil Juglandaceae</t>
  </si>
  <si>
    <r>
      <t xml:space="preserve">Manos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(2007)</t>
    </r>
  </si>
  <si>
    <r>
      <t xml:space="preserve">Friis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(2007)</t>
    </r>
  </si>
  <si>
    <r>
      <t>Extant + fossil Spermatophytes</t>
    </r>
    <r>
      <rPr>
        <vertAlign val="superscript"/>
        <sz val="12"/>
        <rFont val="Times New Roman"/>
        <family val="1"/>
      </rPr>
      <t>a</t>
    </r>
  </si>
  <si>
    <t>Denk &amp; Grimm (2005)</t>
  </si>
  <si>
    <r>
      <t xml:space="preserve">Denk (2003), Denk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(2005), emend.</t>
    </r>
  </si>
  <si>
    <r>
      <t xml:space="preserve">Grimm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(2007)</t>
    </r>
  </si>
  <si>
    <t>Stevenson (1990)</t>
  </si>
  <si>
    <t>Grimm (1999)</t>
  </si>
  <si>
    <r>
      <t xml:space="preserve">Simpson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(2004)</t>
    </r>
  </si>
  <si>
    <t>Hoffmanseggia</t>
  </si>
  <si>
    <t>Hufford &amp; McMahon (2004)</t>
  </si>
  <si>
    <t>Besseya, Synthyris</t>
  </si>
  <si>
    <t>Aeschynomeneae</t>
  </si>
  <si>
    <t>Beyra Matos &amp; Lavin (1999)</t>
  </si>
  <si>
    <r>
      <t xml:space="preserve">Excluding </t>
    </r>
    <r>
      <rPr>
        <i/>
        <sz val="10"/>
        <rFont val="Times New Roman"/>
        <family val="1"/>
      </rPr>
      <t>Archaeocycas</t>
    </r>
  </si>
  <si>
    <r>
      <t xml:space="preserve">Excluding </t>
    </r>
    <r>
      <rPr>
        <i/>
        <sz val="10"/>
        <rFont val="Times New Roman"/>
        <family val="1"/>
      </rPr>
      <t>Nilssoniocladus</t>
    </r>
  </si>
  <si>
    <r>
      <t xml:space="preserve">Grimm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(2007)</t>
    </r>
  </si>
  <si>
    <r>
      <t xml:space="preserve">b </t>
    </r>
    <r>
      <rPr>
        <sz val="12"/>
        <rFont val="Times New Roman"/>
        <family val="1"/>
      </rPr>
      <t xml:space="preserve">As zero branches along a polytomy, including a non-zero </t>
    </r>
    <r>
      <rPr>
        <i/>
        <sz val="12"/>
        <rFont val="Times New Roman"/>
        <family val="1"/>
      </rPr>
      <t xml:space="preserve">A. manningii </t>
    </r>
    <r>
      <rPr>
        <sz val="12"/>
        <rFont val="Times New Roman"/>
        <family val="1"/>
      </rPr>
      <t>branch</t>
    </r>
  </si>
  <si>
    <r>
      <t>Yes</t>
    </r>
    <r>
      <rPr>
        <vertAlign val="superscript"/>
        <sz val="12"/>
        <rFont val="Times New Roman"/>
        <family val="1"/>
      </rPr>
      <t>b</t>
    </r>
  </si>
  <si>
    <t>Current knowledge</t>
  </si>
  <si>
    <t>Very closely related, potentially synspecific</t>
  </si>
  <si>
    <t>Sister species, genetically highly similiar</t>
  </si>
  <si>
    <t>Sister genera</t>
  </si>
  <si>
    <t>Potentially related fossil forms</t>
  </si>
  <si>
    <t>Sister taxa</t>
  </si>
  <si>
    <t>Of common origin</t>
  </si>
  <si>
    <t>Closely related</t>
  </si>
  <si>
    <t>Congeneric, genetically close</t>
  </si>
  <si>
    <t>Clade phylogenetically sound</t>
  </si>
  <si>
    <r>
      <t>Archaeocycas</t>
    </r>
    <r>
      <rPr>
        <sz val="12"/>
        <rFont val="Times New Roman"/>
        <family val="1"/>
      </rPr>
      <t xml:space="preserve">† + </t>
    </r>
    <r>
      <rPr>
        <i/>
        <sz val="12"/>
        <rFont val="Times New Roman"/>
        <family val="1"/>
      </rPr>
      <t xml:space="preserve">Nilssoniocladus </t>
    </r>
    <r>
      <rPr>
        <sz val="12"/>
        <rFont val="Times New Roman"/>
        <family val="1"/>
      </rPr>
      <t>†</t>
    </r>
  </si>
  <si>
    <r>
      <t xml:space="preserve">a </t>
    </r>
    <r>
      <rPr>
        <sz val="12"/>
        <rFont val="Times New Roman"/>
        <family val="1"/>
      </rPr>
      <t xml:space="preserve">The distance between the Triassic </t>
    </r>
    <r>
      <rPr>
        <i/>
        <sz val="12"/>
        <rFont val="Times New Roman"/>
        <family val="1"/>
      </rPr>
      <t xml:space="preserve">Archaeocycas </t>
    </r>
    <r>
      <rPr>
        <sz val="12"/>
        <rFont val="Times New Roman"/>
        <family val="1"/>
      </rPr>
      <t xml:space="preserve">and the Jurassic leaf genus </t>
    </r>
    <r>
      <rPr>
        <i/>
        <sz val="12"/>
        <rFont val="Times New Roman"/>
        <family val="1"/>
      </rPr>
      <t xml:space="preserve">Nilssoniocladus </t>
    </r>
    <r>
      <rPr>
        <sz val="12"/>
        <rFont val="Times New Roman"/>
        <family val="1"/>
      </rPr>
      <t>is 0 because characters that are defined for one of both taxa are always undefined for the other.</t>
    </r>
  </si>
  <si>
    <t>Matrix DV</t>
  </si>
  <si>
    <t>PP</t>
  </si>
  <si>
    <t>Of common origin, candidates for sister taxa</t>
  </si>
  <si>
    <t>Acer heldreichii + A. trautvetteri</t>
  </si>
  <si>
    <t>Fagus crenata + F. sylvatica</t>
  </si>
  <si>
    <t>Fraction of fossil taxa</t>
  </si>
  <si>
    <r>
      <t>4000+</t>
    </r>
    <r>
      <rPr>
        <vertAlign val="superscript"/>
        <sz val="12"/>
        <rFont val="Times New Roman"/>
        <family val="1"/>
      </rPr>
      <t>c</t>
    </r>
  </si>
  <si>
    <r>
      <t>∞</t>
    </r>
    <r>
      <rPr>
        <vertAlign val="superscript"/>
        <sz val="12"/>
        <rFont val="Times New Roman"/>
        <family val="1"/>
      </rPr>
      <t>d</t>
    </r>
  </si>
  <si>
    <r>
      <t xml:space="preserve">d </t>
    </r>
    <r>
      <rPr>
        <sz val="12"/>
        <rFont val="Times New Roman"/>
        <family val="1"/>
      </rPr>
      <t>The number of MPT is virtually unlimited. Using 100 random replicates, a ChuckScore of 39, and max. of 1000 trees saved per replicate, a heuristic search ended up with 80,003 trees.</t>
    </r>
  </si>
  <si>
    <r>
      <t xml:space="preserve">c </t>
    </r>
    <r>
      <rPr>
        <sz val="12"/>
        <rFont val="Times New Roman"/>
        <family val="1"/>
      </rPr>
      <t>The number of MPT is at least 10 or 100-times higher. Count is based on 1000 random replicates, a ChuckScore of 110, and max. of 1000 trees saved per replicate.</t>
    </r>
  </si>
  <si>
    <r>
      <t xml:space="preserve">Bortiri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(2006)</t>
    </r>
  </si>
  <si>
    <r>
      <t xml:space="preserve">Jordal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(2002)</t>
    </r>
  </si>
  <si>
    <t>Coccotrypes</t>
  </si>
  <si>
    <r>
      <t>4</t>
    </r>
    <r>
      <rPr>
        <vertAlign val="superscript"/>
        <sz val="12"/>
        <rFont val="Times New Roman"/>
        <family val="1"/>
      </rPr>
      <t>e</t>
    </r>
  </si>
  <si>
    <r>
      <t xml:space="preserve">e </t>
    </r>
    <r>
      <rPr>
        <sz val="12"/>
        <rFont val="Times New Roman"/>
        <family val="1"/>
      </rPr>
      <t>The data matrix included two pairs of potential outtaxa. If both are included, one is nested within the originally assigned ingroup.</t>
    </r>
  </si>
  <si>
    <r>
      <t xml:space="preserve">Prunus </t>
    </r>
    <r>
      <rPr>
        <sz val="12"/>
        <rFont val="Times New Roman"/>
        <family val="1"/>
      </rPr>
      <t>and outgroups</t>
    </r>
  </si>
  <si>
    <r>
      <t xml:space="preserve">Kress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(2001)</t>
    </r>
  </si>
  <si>
    <t>Zingiberales</t>
  </si>
  <si>
    <t>Grimm (1999), based on Stevenson (1990)</t>
  </si>
  <si>
    <r>
      <t>Not related</t>
    </r>
    <r>
      <rPr>
        <vertAlign val="superscript"/>
        <sz val="12"/>
        <rFont val="Times New Roman"/>
        <family val="1"/>
      </rPr>
      <t>a</t>
    </r>
  </si>
  <si>
    <r>
      <t xml:space="preserve">C. advena </t>
    </r>
    <r>
      <rPr>
        <sz val="12"/>
        <rFont val="Times New Roman"/>
        <family val="1"/>
      </rPr>
      <t>representatives except "B"</t>
    </r>
  </si>
  <si>
    <r>
      <t xml:space="preserve">C. carpophagus, C. dactyliperda </t>
    </r>
    <r>
      <rPr>
        <sz val="12"/>
        <rFont val="Times New Roman"/>
        <family val="1"/>
      </rPr>
      <t xml:space="preserve">(both prov.), </t>
    </r>
    <r>
      <rPr>
        <i/>
        <sz val="12"/>
        <rFont val="Times New Roman"/>
        <family val="1"/>
      </rPr>
      <t xml:space="preserve">C. </t>
    </r>
    <r>
      <rPr>
        <sz val="12"/>
        <rFont val="Times New Roman"/>
        <family val="1"/>
      </rPr>
      <t xml:space="preserve">cf. </t>
    </r>
    <r>
      <rPr>
        <i/>
        <sz val="12"/>
        <rFont val="Times New Roman"/>
        <family val="1"/>
      </rPr>
      <t>distinctus</t>
    </r>
  </si>
  <si>
    <r>
      <t xml:space="preserve">Both provenances of </t>
    </r>
    <r>
      <rPr>
        <i/>
        <sz val="12"/>
        <rFont val="Times New Roman"/>
        <family val="1"/>
      </rPr>
      <t>C. cyperi</t>
    </r>
  </si>
  <si>
    <r>
      <t xml:space="preserve">Both provenances of </t>
    </r>
    <r>
      <rPr>
        <i/>
        <sz val="12"/>
        <rFont val="Times New Roman"/>
        <family val="1"/>
      </rPr>
      <t>C. fallax</t>
    </r>
  </si>
  <si>
    <t>C. marginatus, C. petioli</t>
  </si>
  <si>
    <r>
      <t>Both</t>
    </r>
    <r>
      <rPr>
        <vertAlign val="superscript"/>
        <sz val="12"/>
        <rFont val="Times New Roman"/>
        <family val="1"/>
      </rPr>
      <t>c</t>
    </r>
  </si>
  <si>
    <r>
      <t xml:space="preserve">c </t>
    </r>
    <r>
      <rPr>
        <sz val="12"/>
        <rFont val="Times New Roman"/>
        <family val="1"/>
      </rPr>
      <t xml:space="preserve">As zero branches along a polytomy, including a non-zero </t>
    </r>
    <r>
      <rPr>
        <i/>
        <sz val="12"/>
        <rFont val="Times New Roman"/>
        <family val="1"/>
      </rPr>
      <t xml:space="preserve">C. aciculatus </t>
    </r>
    <r>
      <rPr>
        <sz val="12"/>
        <rFont val="Times New Roman"/>
        <family val="1"/>
      </rPr>
      <t>branch</t>
    </r>
  </si>
  <si>
    <t>Both</t>
  </si>
  <si>
    <t>Conspecific</t>
  </si>
  <si>
    <t>Leht (2009)</t>
  </si>
  <si>
    <t>Lathyrus</t>
  </si>
  <si>
    <t>Parsimony analysis</t>
  </si>
  <si>
    <t>Bayesian inference</t>
  </si>
  <si>
    <t>Number of bipartions with PP &gt; 0.5</t>
  </si>
  <si>
    <t>Distance-based analysis</t>
  </si>
  <si>
    <t>Matrix composition</t>
  </si>
  <si>
    <t>Number of bipartions with BS &gt; 50</t>
  </si>
  <si>
    <t>Angiosperms</t>
  </si>
  <si>
    <t>N (terminal taxa)</t>
  </si>
  <si>
    <t>Number of fossil taxa</t>
  </si>
  <si>
    <r>
      <t xml:space="preserve">Friis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(2007); based on Hilton &amp; Bateman (2006)</t>
    </r>
  </si>
  <si>
    <r>
      <t xml:space="preserve">Hermsen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(2006)</t>
    </r>
  </si>
  <si>
    <t>Including only stem fossils</t>
  </si>
  <si>
    <t>Number of PIS (fossils only)</t>
  </si>
  <si>
    <t>Excluding stem fossils</t>
  </si>
  <si>
    <t>Including only fossils with reproductive structures</t>
  </si>
  <si>
    <t>~</t>
  </si>
  <si>
    <t>Fraction of unambiguously defined character states</t>
  </si>
  <si>
    <t>Fraction of unambiguously defined character states in fossils only</t>
  </si>
  <si>
    <r>
      <t xml:space="preserve">Gandolfo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(2004); based on Les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(1999)</t>
    </r>
  </si>
  <si>
    <t>Nympheaceae</t>
  </si>
  <si>
    <r>
      <t xml:space="preserve">Friis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 xml:space="preserve">(2009); based on Sareela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(2007)</t>
    </r>
  </si>
  <si>
    <t>Acronym</t>
  </si>
  <si>
    <t>BL99</t>
  </si>
  <si>
    <t>Dnk05</t>
  </si>
  <si>
    <t>DG05</t>
  </si>
  <si>
    <t>Frs07</t>
  </si>
  <si>
    <t>Frs09</t>
  </si>
  <si>
    <t>Grm99</t>
  </si>
  <si>
    <t>Grm07</t>
  </si>
  <si>
    <t>Hrm06</t>
  </si>
  <si>
    <t>Hrm06-S</t>
  </si>
  <si>
    <t>Hrm06-V</t>
  </si>
  <si>
    <t>Hrm06-R</t>
  </si>
  <si>
    <t>HM04</t>
  </si>
  <si>
    <t>Les05</t>
  </si>
  <si>
    <t>Mns07</t>
  </si>
  <si>
    <t>Sim04</t>
  </si>
  <si>
    <t>Stv90</t>
  </si>
  <si>
    <t>Gan04 (≡ Les99)</t>
  </si>
  <si>
    <t>0.37-0.43</t>
  </si>
  <si>
    <t>0.27-0.37</t>
  </si>
  <si>
    <t>0.33-0.41</t>
  </si>
  <si>
    <t>0.47–0.56</t>
  </si>
  <si>
    <t>0.31–0.42</t>
  </si>
  <si>
    <t>0.37–0.47</t>
  </si>
  <si>
    <t>Range iDV extinct taxa</t>
  </si>
  <si>
    <t>0.30/0.36</t>
  </si>
  <si>
    <t>Thereof not constant in fossils</t>
  </si>
  <si>
    <t>0.24-0.33</t>
  </si>
  <si>
    <t>Percent of extant taxa with iDV &lt; median</t>
  </si>
  <si>
    <t>Percent of extant taxa with iDV &gt; median</t>
  </si>
  <si>
    <t>Percent of extinct taxa with iDV &lt; median</t>
  </si>
  <si>
    <t>Percent of extinct taxa with iDV &gt; median</t>
  </si>
  <si>
    <t>Excluding all extant taxa and PUS</t>
  </si>
  <si>
    <t>Number of taxa</t>
  </si>
  <si>
    <t>Number of characters</t>
  </si>
  <si>
    <t>0.54–0.70</t>
  </si>
  <si>
    <t>0.33–0.46</t>
  </si>
  <si>
    <t>0.26–0.39</t>
  </si>
  <si>
    <t>NUDC (all)</t>
  </si>
  <si>
    <t>NUDC (fossils)</t>
  </si>
  <si>
    <r>
      <t xml:space="preserve">Gandolfo et al. (2004), based on Les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(1999)</t>
    </r>
  </si>
  <si>
    <r>
      <t xml:space="preserve">Friis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(2009), based on Sareela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(2007)</t>
    </r>
  </si>
  <si>
    <t>Extant + fossil Cycadales</t>
  </si>
  <si>
    <t>At ordial level</t>
  </si>
  <si>
    <t>Relative number</t>
  </si>
  <si>
    <t>mDV</t>
  </si>
  <si>
    <t>Bor06</t>
  </si>
  <si>
    <t>Jor02</t>
  </si>
  <si>
    <t>Krs02</t>
  </si>
  <si>
    <t>Lht09</t>
  </si>
  <si>
    <t>Ratio PIS/taxa</t>
  </si>
  <si>
    <t>Number of bipartions with BS &gt; 80</t>
  </si>
  <si>
    <t>Number of bipartions with PP &gt; 0.8</t>
  </si>
  <si>
    <t>LM08</t>
  </si>
  <si>
    <t>Lehtonen &amp; Myllys (2008)</t>
  </si>
  <si>
    <t>Echinodorus</t>
  </si>
  <si>
    <t>Length, BioNJ topology</t>
  </si>
  <si>
    <r>
      <t xml:space="preserve">Ickert-Bond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(2007)</t>
    </r>
  </si>
  <si>
    <t>Altingia-Liquidambar</t>
  </si>
  <si>
    <t>Intrageneric/-familiar</t>
  </si>
  <si>
    <t>Ick07</t>
  </si>
  <si>
    <t>PIS</t>
  </si>
  <si>
    <t>Number of parsimony-informative sites</t>
  </si>
  <si>
    <t>NUDC</t>
  </si>
  <si>
    <t>Number of unambiguously defined characters (matrix cells)</t>
  </si>
  <si>
    <t>MPT</t>
  </si>
  <si>
    <t>Most-parsimonious tree(s)</t>
  </si>
  <si>
    <t>(Individual) Delta Value</t>
  </si>
  <si>
    <t>(i)DV</t>
  </si>
  <si>
    <t>iDV range</t>
  </si>
  <si>
    <t>Minimum iDV</t>
  </si>
  <si>
    <t>Maximum iDV</t>
  </si>
  <si>
    <t>[to be checked]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</si>
</sst>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0.0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  <font>
      <vertAlign val="superscript"/>
      <sz val="12"/>
      <name val="Times New Roman"/>
      <family val="1"/>
    </font>
    <font>
      <vertAlign val="subscript"/>
      <sz val="12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b/>
      <sz val="8"/>
      <color indexed="81"/>
      <name val="Tahoma"/>
      <family val="2"/>
    </font>
    <font>
      <b/>
      <sz val="10"/>
      <name val="Times New Roman"/>
      <family val="1"/>
    </font>
    <font>
      <sz val="12"/>
      <color theme="1"/>
      <name val="Tahoma"/>
      <family val="2"/>
    </font>
    <font>
      <sz val="12"/>
      <color rgb="FF777777"/>
      <name val="Arial Narrow"/>
      <family val="2"/>
    </font>
    <font>
      <sz val="10"/>
      <color rgb="FF777777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/>
  </cellStyleXfs>
  <cellXfs count="8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quotePrefix="1" applyFont="1" applyAlignment="1">
      <alignment horizontal="right"/>
    </xf>
    <xf numFmtId="2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left" indent="1"/>
    </xf>
    <xf numFmtId="0" fontId="7" fillId="0" borderId="0" xfId="0" applyFont="1"/>
    <xf numFmtId="0" fontId="7" fillId="0" borderId="0" xfId="0" applyFont="1" applyAlignment="1">
      <alignment wrapText="1"/>
    </xf>
    <xf numFmtId="0" fontId="3" fillId="0" borderId="0" xfId="0" applyFont="1" applyBorder="1"/>
    <xf numFmtId="0" fontId="3" fillId="0" borderId="1" xfId="0" applyFont="1" applyBorder="1"/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9" fontId="3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9" fontId="3" fillId="0" borderId="0" xfId="0" quotePrefix="1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/>
    <xf numFmtId="0" fontId="9" fillId="0" borderId="0" xfId="0" applyFont="1" applyAlignment="1">
      <alignment horizontal="center"/>
    </xf>
    <xf numFmtId="0" fontId="3" fillId="3" borderId="0" xfId="0" applyFont="1" applyFill="1"/>
    <xf numFmtId="0" fontId="7" fillId="0" borderId="0" xfId="0" applyFont="1" applyBorder="1" applyAlignment="1">
      <alignment horizontal="left" indent="1"/>
    </xf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3" fillId="0" borderId="1" xfId="0" applyFont="1" applyBorder="1" applyAlignment="1">
      <alignment horizontal="center" textRotation="90"/>
    </xf>
    <xf numFmtId="0" fontId="3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3" fillId="0" borderId="0" xfId="0" applyFont="1" applyBorder="1" applyAlignment="1">
      <alignment textRotation="90"/>
    </xf>
    <xf numFmtId="0" fontId="7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textRotation="90" wrapText="1"/>
    </xf>
    <xf numFmtId="0" fontId="3" fillId="0" borderId="0" xfId="0" applyFont="1" applyBorder="1" applyAlignment="1">
      <alignment horizontal="center" textRotation="90"/>
    </xf>
    <xf numFmtId="0" fontId="3" fillId="0" borderId="0" xfId="0" applyFont="1" applyBorder="1" applyAlignment="1">
      <alignment horizontal="left" indent="1"/>
    </xf>
    <xf numFmtId="0" fontId="7" fillId="0" borderId="0" xfId="0" applyFont="1" applyFill="1" applyAlignment="1">
      <alignment horizontal="right"/>
    </xf>
    <xf numFmtId="9" fontId="7" fillId="0" borderId="0" xfId="1" applyFont="1" applyFill="1" applyAlignment="1">
      <alignment horizontal="right"/>
    </xf>
    <xf numFmtId="9" fontId="3" fillId="0" borderId="0" xfId="1" applyFont="1" applyFill="1" applyAlignment="1">
      <alignment horizontal="right"/>
    </xf>
    <xf numFmtId="9" fontId="3" fillId="0" borderId="0" xfId="1" quotePrefix="1" applyFont="1" applyFill="1" applyAlignment="1">
      <alignment horizontal="right"/>
    </xf>
    <xf numFmtId="9" fontId="9" fillId="0" borderId="0" xfId="1" applyFont="1" applyFill="1"/>
    <xf numFmtId="0" fontId="3" fillId="0" borderId="0" xfId="0" applyFont="1" applyFill="1" applyAlignment="1">
      <alignment horizontal="center" textRotation="90" wrapText="1"/>
    </xf>
    <xf numFmtId="9" fontId="3" fillId="0" borderId="0" xfId="0" applyNumberFormat="1" applyFont="1" applyBorder="1" applyAlignment="1">
      <alignment horizontal="right"/>
    </xf>
    <xf numFmtId="9" fontId="3" fillId="0" borderId="0" xfId="1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9" fontId="7" fillId="0" borderId="0" xfId="1" applyFont="1" applyBorder="1" applyAlignment="1">
      <alignment horizontal="right"/>
    </xf>
    <xf numFmtId="2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 textRotation="90"/>
    </xf>
    <xf numFmtId="0" fontId="13" fillId="0" borderId="0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3" fillId="0" borderId="0" xfId="0" applyFont="1" applyBorder="1"/>
    <xf numFmtId="0" fontId="13" fillId="0" borderId="0" xfId="0" applyFont="1" applyBorder="1" applyAlignment="1">
      <alignment horizontal="center" textRotation="90" wrapText="1"/>
    </xf>
    <xf numFmtId="9" fontId="14" fillId="0" borderId="0" xfId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7" fillId="0" borderId="0" xfId="0" applyFont="1" applyFill="1" applyBorder="1" applyAlignment="1">
      <alignment horizontal="right"/>
    </xf>
    <xf numFmtId="9" fontId="11" fillId="0" borderId="0" xfId="1" applyFont="1" applyFill="1" applyAlignment="1">
      <alignment horizontal="right"/>
    </xf>
    <xf numFmtId="9" fontId="7" fillId="0" borderId="0" xfId="1" applyFont="1" applyFill="1" applyBorder="1" applyAlignment="1">
      <alignment horizontal="right"/>
    </xf>
    <xf numFmtId="0" fontId="3" fillId="0" borderId="1" xfId="0" applyFont="1" applyBorder="1" applyAlignment="1">
      <alignment horizontal="center" textRotation="90" wrapText="1"/>
    </xf>
    <xf numFmtId="9" fontId="3" fillId="0" borderId="0" xfId="1" applyFont="1" applyAlignment="1">
      <alignment wrapText="1"/>
    </xf>
    <xf numFmtId="9" fontId="3" fillId="0" borderId="0" xfId="1" applyFont="1" applyBorder="1" applyAlignment="1">
      <alignment wrapText="1"/>
    </xf>
    <xf numFmtId="9" fontId="3" fillId="0" borderId="0" xfId="1" applyFont="1" applyFill="1" applyAlignment="1">
      <alignment wrapText="1"/>
    </xf>
    <xf numFmtId="9" fontId="7" fillId="0" borderId="0" xfId="1" applyFont="1" applyAlignment="1">
      <alignment wrapText="1"/>
    </xf>
    <xf numFmtId="9" fontId="7" fillId="0" borderId="0" xfId="1" applyFont="1" applyBorder="1" applyAlignment="1">
      <alignment wrapText="1"/>
    </xf>
    <xf numFmtId="0" fontId="3" fillId="0" borderId="0" xfId="0" applyFont="1" applyAlignment="1">
      <alignment horizontal="left" indent="1"/>
    </xf>
    <xf numFmtId="166" fontId="3" fillId="0" borderId="0" xfId="1" applyNumberFormat="1" applyFont="1" applyBorder="1" applyAlignment="1">
      <alignment horizontal="right"/>
    </xf>
    <xf numFmtId="166" fontId="7" fillId="0" borderId="0" xfId="1" applyNumberFormat="1" applyFont="1" applyBorder="1" applyAlignment="1">
      <alignment horizontal="right"/>
    </xf>
    <xf numFmtId="0" fontId="3" fillId="4" borderId="0" xfId="0" applyFont="1" applyFill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3" fillId="0" borderId="0" xfId="0" applyFont="1" applyAlignment="1">
      <alignment horizontal="center"/>
    </xf>
  </cellXfs>
  <cellStyles count="3">
    <cellStyle name="Prozent" xfId="1" builtinId="5"/>
    <cellStyle name="Standard" xfId="0" builtinId="0"/>
    <cellStyle name="Standar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tabSelected="1" workbookViewId="0">
      <selection activeCell="N21" sqref="N21"/>
    </sheetView>
  </sheetViews>
  <sheetFormatPr baseColWidth="10" defaultColWidth="11.44140625" defaultRowHeight="15.6" x14ac:dyDescent="0.3"/>
  <cols>
    <col min="1" max="1" width="11.44140625" style="12"/>
    <col min="2" max="2" width="53.109375" style="12" customWidth="1"/>
    <col min="3" max="3" width="8" style="12" bestFit="1" customWidth="1"/>
    <col min="4" max="4" width="5.6640625" style="12" customWidth="1"/>
    <col min="5" max="5" width="3.88671875" style="12" bestFit="1" customWidth="1"/>
    <col min="6" max="6" width="6.33203125" style="12" bestFit="1" customWidth="1"/>
    <col min="7" max="7" width="6.88671875" style="12" bestFit="1" customWidth="1"/>
    <col min="8" max="8" width="6.88671875" style="12" customWidth="1"/>
    <col min="9" max="9" width="3.88671875" style="12" customWidth="1"/>
    <col min="10" max="10" width="5.33203125" style="12" customWidth="1"/>
    <col min="11" max="11" width="5.5546875" style="65" customWidth="1"/>
    <col min="12" max="12" width="6.88671875" style="12" customWidth="1"/>
    <col min="13" max="13" width="5.5546875" style="65" customWidth="1"/>
    <col min="14" max="14" width="9.88671875" style="12" customWidth="1"/>
    <col min="15" max="15" width="6.6640625" style="12" bestFit="1" customWidth="1"/>
    <col min="16" max="17" width="6.44140625" style="12" customWidth="1"/>
    <col min="18" max="18" width="6.6640625" style="12" bestFit="1" customWidth="1"/>
    <col min="19" max="21" width="6.6640625" style="69" customWidth="1"/>
    <col min="22" max="23" width="6.88671875" style="70" bestFit="1" customWidth="1"/>
    <col min="24" max="24" width="10.109375" style="70" bestFit="1" customWidth="1"/>
    <col min="25" max="26" width="6.88671875" style="70" bestFit="1" customWidth="1"/>
    <col min="27" max="16384" width="11.44140625" style="12"/>
  </cols>
  <sheetData>
    <row r="1" spans="1:26" ht="136.5" customHeight="1" x14ac:dyDescent="0.3">
      <c r="A1" s="12" t="s">
        <v>147</v>
      </c>
      <c r="B1" s="12" t="s">
        <v>0</v>
      </c>
      <c r="C1" s="44" t="s">
        <v>180</v>
      </c>
      <c r="D1" s="46" t="s">
        <v>181</v>
      </c>
      <c r="E1" s="47" t="s">
        <v>134</v>
      </c>
      <c r="F1" s="47" t="s">
        <v>100</v>
      </c>
      <c r="G1" s="46" t="s">
        <v>208</v>
      </c>
      <c r="H1" s="46" t="s">
        <v>173</v>
      </c>
      <c r="I1" s="47" t="s">
        <v>138</v>
      </c>
      <c r="J1" s="47" t="s">
        <v>197</v>
      </c>
      <c r="K1" s="62" t="s">
        <v>185</v>
      </c>
      <c r="L1" s="46" t="s">
        <v>142</v>
      </c>
      <c r="M1" s="66" t="s">
        <v>186</v>
      </c>
      <c r="N1" s="46" t="s">
        <v>143</v>
      </c>
      <c r="O1" s="46" t="s">
        <v>47</v>
      </c>
      <c r="P1" s="47" t="s">
        <v>24</v>
      </c>
      <c r="Q1" s="47" t="s">
        <v>16</v>
      </c>
      <c r="R1" s="47" t="s">
        <v>95</v>
      </c>
      <c r="S1" s="54" t="s">
        <v>217</v>
      </c>
      <c r="T1" s="54" t="s">
        <v>218</v>
      </c>
      <c r="U1" s="54" t="s">
        <v>216</v>
      </c>
      <c r="V1" s="54" t="s">
        <v>175</v>
      </c>
      <c r="W1" s="54" t="s">
        <v>176</v>
      </c>
      <c r="X1" s="54" t="s">
        <v>171</v>
      </c>
      <c r="Y1" s="54" t="s">
        <v>177</v>
      </c>
      <c r="Z1" s="54" t="s">
        <v>178</v>
      </c>
    </row>
    <row r="2" spans="1:26" x14ac:dyDescent="0.3">
      <c r="A2" s="12" t="s">
        <v>148</v>
      </c>
      <c r="B2" s="12" t="s">
        <v>77</v>
      </c>
      <c r="C2" s="24">
        <f>TreeRecon!D3</f>
        <v>42</v>
      </c>
      <c r="D2" s="24">
        <f>TreeRecon!G3</f>
        <v>50</v>
      </c>
      <c r="E2" s="24">
        <v>0</v>
      </c>
      <c r="F2" s="55">
        <f t="shared" ref="F2:F29" si="0">E2/C2</f>
        <v>0</v>
      </c>
      <c r="G2" s="24">
        <v>46</v>
      </c>
      <c r="H2" s="24" t="s">
        <v>141</v>
      </c>
      <c r="I2" s="24" t="s">
        <v>141</v>
      </c>
      <c r="J2" s="81">
        <f t="shared" ref="J2:J29" si="1">G2/C2</f>
        <v>1.0952380952380953</v>
      </c>
      <c r="K2" s="84" t="s">
        <v>141</v>
      </c>
      <c r="L2" s="84" t="s">
        <v>141</v>
      </c>
      <c r="M2" s="84" t="s">
        <v>141</v>
      </c>
      <c r="N2" s="84" t="s">
        <v>141</v>
      </c>
      <c r="O2" s="24">
        <v>1150</v>
      </c>
      <c r="P2" s="57">
        <v>0.70699999999999996</v>
      </c>
      <c r="Q2" s="57">
        <v>0.73329999999999995</v>
      </c>
      <c r="R2" s="24">
        <v>0.34399999999999997</v>
      </c>
      <c r="S2" s="24">
        <v>0.28000000000000003</v>
      </c>
      <c r="T2" s="24">
        <v>0.43</v>
      </c>
      <c r="U2" s="24">
        <f t="shared" ref="U2:U6" si="2">T2-S2</f>
        <v>0.14999999999999997</v>
      </c>
      <c r="V2" s="72" t="s">
        <v>141</v>
      </c>
      <c r="W2" s="72" t="s">
        <v>141</v>
      </c>
      <c r="X2" s="72" t="s">
        <v>141</v>
      </c>
      <c r="Y2" s="72" t="s">
        <v>141</v>
      </c>
      <c r="Z2" s="72" t="s">
        <v>141</v>
      </c>
    </row>
    <row r="3" spans="1:26" x14ac:dyDescent="0.3">
      <c r="A3" s="12" t="s">
        <v>193</v>
      </c>
      <c r="B3" s="12" t="str">
        <f>TreeRecon!A4</f>
        <v>Bortiri et al. (2006)</v>
      </c>
      <c r="C3" s="24">
        <f>TreeRecon!D4</f>
        <v>45</v>
      </c>
      <c r="D3" s="24">
        <f>TreeRecon!G4</f>
        <v>25</v>
      </c>
      <c r="E3" s="24">
        <v>0</v>
      </c>
      <c r="F3" s="55">
        <f>E3/C3</f>
        <v>0</v>
      </c>
      <c r="G3" s="24">
        <v>25</v>
      </c>
      <c r="H3" s="24" t="s">
        <v>141</v>
      </c>
      <c r="I3" s="24" t="s">
        <v>141</v>
      </c>
      <c r="J3" s="81">
        <f t="shared" si="1"/>
        <v>0.55555555555555558</v>
      </c>
      <c r="K3" s="84" t="s">
        <v>141</v>
      </c>
      <c r="L3" s="84" t="s">
        <v>141</v>
      </c>
      <c r="M3" s="84" t="s">
        <v>141</v>
      </c>
      <c r="N3" s="84" t="s">
        <v>141</v>
      </c>
      <c r="O3" s="24">
        <v>4113</v>
      </c>
      <c r="P3" s="57">
        <v>0.36359999999999998</v>
      </c>
      <c r="Q3" s="57">
        <v>0.73180000000000001</v>
      </c>
      <c r="R3" s="24">
        <v>0.34899999999999998</v>
      </c>
      <c r="S3" s="24">
        <v>0.31</v>
      </c>
      <c r="T3" s="24">
        <v>0.41</v>
      </c>
      <c r="U3" s="24">
        <f t="shared" si="2"/>
        <v>9.9999999999999978E-2</v>
      </c>
      <c r="V3" s="72" t="s">
        <v>141</v>
      </c>
      <c r="W3" s="72" t="s">
        <v>141</v>
      </c>
      <c r="X3" s="72" t="s">
        <v>141</v>
      </c>
      <c r="Y3" s="72" t="s">
        <v>141</v>
      </c>
      <c r="Z3" s="72" t="s">
        <v>141</v>
      </c>
    </row>
    <row r="4" spans="1:26" x14ac:dyDescent="0.3">
      <c r="A4" s="12" t="s">
        <v>149</v>
      </c>
      <c r="B4" s="12" t="s">
        <v>68</v>
      </c>
      <c r="C4" s="24">
        <f>TreeRecon!D5</f>
        <v>17</v>
      </c>
      <c r="D4" s="24">
        <f>TreeRecon!G5</f>
        <v>42</v>
      </c>
      <c r="E4" s="24">
        <v>3</v>
      </c>
      <c r="F4" s="56">
        <f t="shared" si="0"/>
        <v>0.17647058823529413</v>
      </c>
      <c r="G4" s="24">
        <v>29</v>
      </c>
      <c r="H4" s="24" t="s">
        <v>141</v>
      </c>
      <c r="I4" s="24" t="s">
        <v>141</v>
      </c>
      <c r="J4" s="81">
        <f t="shared" si="1"/>
        <v>1.7058823529411764</v>
      </c>
      <c r="K4" s="63">
        <f>17*42-47</f>
        <v>667</v>
      </c>
      <c r="L4" s="56">
        <f>K4/(C4*D4)</f>
        <v>0.93417366946778713</v>
      </c>
      <c r="M4" s="63">
        <f>3*42-23</f>
        <v>103</v>
      </c>
      <c r="N4" s="56">
        <f>M4/(E4*D4)</f>
        <v>0.81746031746031744</v>
      </c>
      <c r="O4" s="24">
        <v>111</v>
      </c>
      <c r="P4" s="57">
        <v>0.84</v>
      </c>
      <c r="Q4" s="57">
        <v>0.75</v>
      </c>
      <c r="R4" s="24">
        <v>0.375</v>
      </c>
      <c r="S4" s="20">
        <v>0.32</v>
      </c>
      <c r="T4" s="20">
        <v>0.44</v>
      </c>
      <c r="U4" s="20">
        <f t="shared" si="2"/>
        <v>0.12</v>
      </c>
      <c r="V4" s="51">
        <f>8/14</f>
        <v>0.5714285714285714</v>
      </c>
      <c r="W4" s="51">
        <f>5/14</f>
        <v>0.35714285714285715</v>
      </c>
      <c r="X4" s="20" t="s">
        <v>165</v>
      </c>
      <c r="Y4" s="51">
        <f>0/3</f>
        <v>0</v>
      </c>
      <c r="Z4" s="51">
        <f>2/3</f>
        <v>0.66666666666666663</v>
      </c>
    </row>
    <row r="5" spans="1:26" x14ac:dyDescent="0.3">
      <c r="A5" s="12" t="s">
        <v>150</v>
      </c>
      <c r="B5" s="12" t="s">
        <v>67</v>
      </c>
      <c r="C5" s="24">
        <f>TreeRecon!D6</f>
        <v>8</v>
      </c>
      <c r="D5" s="24">
        <f>TreeRecon!G6</f>
        <v>14</v>
      </c>
      <c r="E5" s="24">
        <v>0</v>
      </c>
      <c r="F5" s="55">
        <f t="shared" si="0"/>
        <v>0</v>
      </c>
      <c r="G5" s="24">
        <v>9</v>
      </c>
      <c r="H5" s="24" t="s">
        <v>141</v>
      </c>
      <c r="I5" s="24" t="s">
        <v>141</v>
      </c>
      <c r="J5" s="81">
        <f t="shared" si="1"/>
        <v>1.125</v>
      </c>
      <c r="K5" s="84" t="s">
        <v>141</v>
      </c>
      <c r="L5" s="84" t="s">
        <v>141</v>
      </c>
      <c r="M5" s="84" t="s">
        <v>141</v>
      </c>
      <c r="N5" s="84" t="s">
        <v>141</v>
      </c>
      <c r="O5" s="24">
        <v>4</v>
      </c>
      <c r="P5" s="57">
        <v>0.79</v>
      </c>
      <c r="Q5" s="57">
        <v>0.63</v>
      </c>
      <c r="R5" s="24">
        <v>0.36399999999999999</v>
      </c>
      <c r="S5" s="24">
        <v>0.3</v>
      </c>
      <c r="T5" s="24">
        <v>0.47</v>
      </c>
      <c r="U5" s="24">
        <f t="shared" si="2"/>
        <v>0.16999999999999998</v>
      </c>
      <c r="V5" s="72" t="s">
        <v>141</v>
      </c>
      <c r="W5" s="72" t="s">
        <v>141</v>
      </c>
      <c r="X5" s="72" t="s">
        <v>141</v>
      </c>
      <c r="Y5" s="72" t="s">
        <v>141</v>
      </c>
      <c r="Z5" s="72" t="s">
        <v>141</v>
      </c>
    </row>
    <row r="6" spans="1:26" x14ac:dyDescent="0.3">
      <c r="A6" s="12" t="s">
        <v>151</v>
      </c>
      <c r="B6" s="12" t="s">
        <v>135</v>
      </c>
      <c r="C6" s="24">
        <f>TreeRecon!D7</f>
        <v>50</v>
      </c>
      <c r="D6" s="24">
        <f>TreeRecon!G7</f>
        <v>102</v>
      </c>
      <c r="E6" s="24">
        <v>26</v>
      </c>
      <c r="F6" s="56">
        <f t="shared" si="0"/>
        <v>0.52</v>
      </c>
      <c r="G6" s="24">
        <v>101</v>
      </c>
      <c r="H6" s="24">
        <f>G6-48</f>
        <v>53</v>
      </c>
      <c r="I6" s="24">
        <v>46</v>
      </c>
      <c r="J6" s="81">
        <f t="shared" si="1"/>
        <v>2.02</v>
      </c>
      <c r="K6" s="63">
        <v>3545</v>
      </c>
      <c r="L6" s="56">
        <f t="shared" ref="L6:L13" si="3">K6/(C6*D6)</f>
        <v>0.69509803921568625</v>
      </c>
      <c r="M6" s="63">
        <v>1481</v>
      </c>
      <c r="N6" s="56">
        <f t="shared" ref="N6:N13" si="4">M6/(E6*D6)</f>
        <v>0.55844645550527905</v>
      </c>
      <c r="O6" s="24">
        <v>21493</v>
      </c>
      <c r="P6" s="57">
        <v>0.52</v>
      </c>
      <c r="Q6" s="57">
        <v>0.8</v>
      </c>
      <c r="R6" s="58">
        <v>0.308</v>
      </c>
      <c r="S6" s="20">
        <v>0.28000000000000003</v>
      </c>
      <c r="T6" s="20">
        <v>0.35</v>
      </c>
      <c r="U6" s="20">
        <f t="shared" si="2"/>
        <v>6.9999999999999951E-2</v>
      </c>
      <c r="V6" s="51">
        <f>16/24</f>
        <v>0.66666666666666663</v>
      </c>
      <c r="W6" s="51">
        <f>8/24</f>
        <v>0.33333333333333331</v>
      </c>
      <c r="X6" s="20" t="s">
        <v>166</v>
      </c>
      <c r="Y6" s="51">
        <f>9/26</f>
        <v>0.34615384615384615</v>
      </c>
      <c r="Z6" s="51">
        <f>17/26</f>
        <v>0.65384615384615385</v>
      </c>
    </row>
    <row r="7" spans="1:26" s="38" customFormat="1" ht="13.8" x14ac:dyDescent="0.3">
      <c r="B7" s="37" t="s">
        <v>179</v>
      </c>
      <c r="C7" s="45">
        <f>E6</f>
        <v>26</v>
      </c>
      <c r="D7" s="45">
        <f>G6</f>
        <v>101</v>
      </c>
      <c r="E7" s="45">
        <f>C7</f>
        <v>26</v>
      </c>
      <c r="F7" s="59">
        <f t="shared" si="0"/>
        <v>1</v>
      </c>
      <c r="G7" s="45" t="s">
        <v>141</v>
      </c>
      <c r="H7" s="45" t="s">
        <v>141</v>
      </c>
      <c r="I7" s="45">
        <f>I6</f>
        <v>46</v>
      </c>
      <c r="J7" s="82"/>
      <c r="K7" s="64" t="s">
        <v>141</v>
      </c>
      <c r="L7" s="67" t="s">
        <v>141</v>
      </c>
      <c r="M7" s="64">
        <f>M6</f>
        <v>1481</v>
      </c>
      <c r="N7" s="59">
        <f>M7/(E7*D7)</f>
        <v>0.56397562833206394</v>
      </c>
      <c r="O7" s="45"/>
      <c r="P7" s="60"/>
      <c r="Q7" s="60"/>
      <c r="R7" s="61">
        <v>0.316</v>
      </c>
      <c r="S7" s="49" t="s">
        <v>141</v>
      </c>
      <c r="T7" s="49" t="s">
        <v>141</v>
      </c>
      <c r="U7" s="49"/>
      <c r="V7" s="50" t="s">
        <v>141</v>
      </c>
      <c r="W7" s="50" t="s">
        <v>141</v>
      </c>
      <c r="X7" s="49" t="s">
        <v>184</v>
      </c>
      <c r="Y7" s="50">
        <v>0.48</v>
      </c>
      <c r="Z7" s="50">
        <v>0.48</v>
      </c>
    </row>
    <row r="8" spans="1:26" x14ac:dyDescent="0.3">
      <c r="A8" s="12" t="s">
        <v>152</v>
      </c>
      <c r="B8" s="12" t="s">
        <v>146</v>
      </c>
      <c r="C8" s="24">
        <f>TreeRecon!D8</f>
        <v>56</v>
      </c>
      <c r="D8" s="24">
        <f>TreeRecon!G8</f>
        <v>114</v>
      </c>
      <c r="E8" s="24">
        <v>1</v>
      </c>
      <c r="F8" s="56">
        <f t="shared" si="0"/>
        <v>1.7857142857142856E-2</v>
      </c>
      <c r="G8" s="24">
        <v>112</v>
      </c>
      <c r="H8" s="24" t="s">
        <v>141</v>
      </c>
      <c r="I8" s="24" t="s">
        <v>141</v>
      </c>
      <c r="J8" s="81">
        <f t="shared" si="1"/>
        <v>2</v>
      </c>
      <c r="K8" s="63">
        <v>5416</v>
      </c>
      <c r="L8" s="56">
        <f t="shared" si="3"/>
        <v>0.84837092731829578</v>
      </c>
      <c r="M8" s="63">
        <v>30</v>
      </c>
      <c r="N8" s="56">
        <f t="shared" si="4"/>
        <v>0.26315789473684209</v>
      </c>
      <c r="O8" s="24">
        <v>338</v>
      </c>
      <c r="P8" s="57">
        <v>0.43680000000000002</v>
      </c>
      <c r="Q8" s="57">
        <v>0.57850000000000001</v>
      </c>
      <c r="R8" s="58">
        <v>0.38500000000000001</v>
      </c>
      <c r="S8" s="20">
        <v>0.35</v>
      </c>
      <c r="T8" s="20">
        <v>0.43</v>
      </c>
      <c r="U8" s="20">
        <f>T8-S8</f>
        <v>8.0000000000000016E-2</v>
      </c>
      <c r="V8" s="51">
        <f>27/55</f>
        <v>0.49090909090909091</v>
      </c>
      <c r="W8" s="52">
        <f>26/55</f>
        <v>0.47272727272727272</v>
      </c>
      <c r="X8" s="20">
        <v>0.44</v>
      </c>
      <c r="Y8" s="51">
        <v>0</v>
      </c>
      <c r="Z8" s="51">
        <v>1</v>
      </c>
    </row>
    <row r="9" spans="1:26" x14ac:dyDescent="0.3">
      <c r="A9" s="12" t="s">
        <v>164</v>
      </c>
      <c r="B9" s="12" t="s">
        <v>144</v>
      </c>
      <c r="C9" s="24">
        <f>TreeRecon!D9</f>
        <v>9</v>
      </c>
      <c r="D9" s="24">
        <f>TreeRecon!G9</f>
        <v>69</v>
      </c>
      <c r="E9" s="24">
        <v>1</v>
      </c>
      <c r="F9" s="55">
        <f>E9/C9</f>
        <v>0.1111111111111111</v>
      </c>
      <c r="G9" s="24">
        <v>49</v>
      </c>
      <c r="H9" s="24" t="s">
        <v>141</v>
      </c>
      <c r="I9" s="24" t="s">
        <v>141</v>
      </c>
      <c r="J9" s="81">
        <f t="shared" si="1"/>
        <v>5.4444444444444446</v>
      </c>
      <c r="K9" s="63">
        <v>562</v>
      </c>
      <c r="L9" s="56">
        <f>K9/(C9*D9)</f>
        <v>0.90499194847020936</v>
      </c>
      <c r="M9" s="63">
        <v>15</v>
      </c>
      <c r="N9" s="56">
        <f>M9/(E9*D9)</f>
        <v>0.21739130434782608</v>
      </c>
      <c r="O9" s="24">
        <v>1</v>
      </c>
      <c r="P9" s="57">
        <v>0.77110000000000001</v>
      </c>
      <c r="Q9" s="57">
        <v>0.76249999999999996</v>
      </c>
      <c r="R9" s="24">
        <v>0.29599999999999999</v>
      </c>
      <c r="S9" s="20">
        <v>0.24</v>
      </c>
      <c r="T9" s="20">
        <v>0.36</v>
      </c>
      <c r="U9" s="20">
        <f>T9-S9</f>
        <v>0.12</v>
      </c>
      <c r="V9" s="51">
        <f>4/8</f>
        <v>0.5</v>
      </c>
      <c r="W9" s="52">
        <f>3/8</f>
        <v>0.375</v>
      </c>
      <c r="X9" s="20">
        <v>0.38</v>
      </c>
      <c r="Y9" s="51">
        <v>0</v>
      </c>
      <c r="Z9" s="51">
        <v>1</v>
      </c>
    </row>
    <row r="10" spans="1:26" x14ac:dyDescent="0.3">
      <c r="A10" s="12" t="s">
        <v>153</v>
      </c>
      <c r="B10" s="12" t="s">
        <v>71</v>
      </c>
      <c r="C10" s="24">
        <f>TreeRecon!D10</f>
        <v>22</v>
      </c>
      <c r="D10" s="24">
        <f>TreeRecon!G10</f>
        <v>40</v>
      </c>
      <c r="E10" s="24">
        <v>11</v>
      </c>
      <c r="F10" s="56">
        <f t="shared" si="0"/>
        <v>0.5</v>
      </c>
      <c r="G10" s="24">
        <f>TreeRecon!H10</f>
        <v>38</v>
      </c>
      <c r="H10" s="24"/>
      <c r="I10" s="24">
        <v>13</v>
      </c>
      <c r="J10" s="81">
        <f t="shared" si="1"/>
        <v>1.7272727272727273</v>
      </c>
      <c r="K10" s="63">
        <v>676</v>
      </c>
      <c r="L10" s="56">
        <f t="shared" si="3"/>
        <v>0.76818181818181819</v>
      </c>
      <c r="M10" s="63">
        <v>251</v>
      </c>
      <c r="N10" s="56">
        <f t="shared" si="4"/>
        <v>0.57045454545454544</v>
      </c>
      <c r="O10" s="24">
        <v>18</v>
      </c>
      <c r="P10" s="57">
        <v>0.68820000000000003</v>
      </c>
      <c r="Q10" s="57">
        <v>0.79579999999999995</v>
      </c>
      <c r="R10" s="24">
        <v>0.32600000000000001</v>
      </c>
      <c r="S10" s="20">
        <v>0.28000000000000003</v>
      </c>
      <c r="T10" s="20">
        <v>0.35</v>
      </c>
      <c r="U10" s="20">
        <f>T10-S10</f>
        <v>6.9999999999999951E-2</v>
      </c>
      <c r="V10" s="51">
        <f>10/12</f>
        <v>0.83333333333333337</v>
      </c>
      <c r="W10" s="51">
        <f>2/12</f>
        <v>0.16666666666666666</v>
      </c>
      <c r="X10" s="20" t="s">
        <v>167</v>
      </c>
      <c r="Y10" s="51">
        <f>1/10</f>
        <v>0.1</v>
      </c>
      <c r="Z10" s="51">
        <f>9/10</f>
        <v>0.9</v>
      </c>
    </row>
    <row r="11" spans="1:26" s="38" customFormat="1" ht="13.8" x14ac:dyDescent="0.3">
      <c r="B11" s="37" t="s">
        <v>179</v>
      </c>
      <c r="C11" s="45">
        <f>E10</f>
        <v>11</v>
      </c>
      <c r="D11" s="45">
        <f>G10</f>
        <v>38</v>
      </c>
      <c r="E11" s="45">
        <v>11</v>
      </c>
      <c r="F11" s="59">
        <f t="shared" si="0"/>
        <v>1</v>
      </c>
      <c r="G11" s="45">
        <v>16</v>
      </c>
      <c r="H11" s="45"/>
      <c r="I11" s="45">
        <f>I10</f>
        <v>13</v>
      </c>
      <c r="J11" s="82">
        <f t="shared" si="1"/>
        <v>1.4545454545454546</v>
      </c>
      <c r="K11" s="64" t="s">
        <v>141</v>
      </c>
      <c r="L11" s="67" t="s">
        <v>141</v>
      </c>
      <c r="M11" s="64">
        <f>M10</f>
        <v>251</v>
      </c>
      <c r="N11" s="59">
        <f t="shared" si="4"/>
        <v>0.6004784688995215</v>
      </c>
      <c r="O11" s="45">
        <v>45</v>
      </c>
      <c r="P11" s="60">
        <v>0.70369999999999999</v>
      </c>
      <c r="Q11" s="60">
        <v>0.7419</v>
      </c>
      <c r="R11" s="45">
        <v>0.39200000000000002</v>
      </c>
      <c r="S11" s="49" t="s">
        <v>141</v>
      </c>
      <c r="T11" s="49" t="s">
        <v>141</v>
      </c>
      <c r="U11" s="49"/>
      <c r="V11" s="72" t="s">
        <v>141</v>
      </c>
      <c r="W11" s="72" t="s">
        <v>141</v>
      </c>
      <c r="X11" s="71" t="s">
        <v>183</v>
      </c>
      <c r="Y11" s="73">
        <v>0.45454545454545453</v>
      </c>
      <c r="Z11" s="73">
        <v>0.45454545454545453</v>
      </c>
    </row>
    <row r="12" spans="1:26" s="38" customFormat="1" x14ac:dyDescent="0.3">
      <c r="B12" s="37" t="s">
        <v>78</v>
      </c>
      <c r="C12" s="45">
        <f>TreeRecon!D11</f>
        <v>21</v>
      </c>
      <c r="D12" s="45">
        <f>TreeRecon!G11</f>
        <v>40</v>
      </c>
      <c r="E12" s="45">
        <v>10</v>
      </c>
      <c r="F12" s="59">
        <f t="shared" si="0"/>
        <v>0.47619047619047616</v>
      </c>
      <c r="G12" s="45"/>
      <c r="H12" s="45"/>
      <c r="I12" s="45"/>
      <c r="J12" s="82"/>
      <c r="K12" s="64">
        <f>K$10-13</f>
        <v>663</v>
      </c>
      <c r="L12" s="59">
        <f t="shared" si="3"/>
        <v>0.78928571428571426</v>
      </c>
      <c r="M12" s="64">
        <v>238</v>
      </c>
      <c r="N12" s="59">
        <f t="shared" si="4"/>
        <v>0.59499999999999997</v>
      </c>
      <c r="O12" s="45"/>
      <c r="P12" s="60"/>
      <c r="Q12" s="60"/>
      <c r="R12" s="45"/>
      <c r="S12" s="69"/>
      <c r="T12" s="69"/>
      <c r="U12" s="69"/>
      <c r="V12" s="69"/>
      <c r="W12" s="69"/>
      <c r="X12" s="69"/>
      <c r="Y12" s="69"/>
      <c r="Z12" s="69"/>
    </row>
    <row r="13" spans="1:26" s="38" customFormat="1" x14ac:dyDescent="0.3">
      <c r="B13" s="37" t="s">
        <v>79</v>
      </c>
      <c r="C13" s="45">
        <f>TreeRecon!D12</f>
        <v>21</v>
      </c>
      <c r="D13" s="45">
        <f>TreeRecon!G12</f>
        <v>40</v>
      </c>
      <c r="E13" s="45">
        <v>10</v>
      </c>
      <c r="F13" s="59">
        <f t="shared" si="0"/>
        <v>0.47619047619047616</v>
      </c>
      <c r="G13" s="45"/>
      <c r="H13" s="45"/>
      <c r="I13" s="45"/>
      <c r="J13" s="82"/>
      <c r="K13" s="64">
        <f>K$10-11</f>
        <v>665</v>
      </c>
      <c r="L13" s="59">
        <f t="shared" si="3"/>
        <v>0.79166666666666663</v>
      </c>
      <c r="M13" s="64">
        <v>240</v>
      </c>
      <c r="N13" s="59">
        <f t="shared" si="4"/>
        <v>0.6</v>
      </c>
      <c r="O13" s="45"/>
      <c r="P13" s="60"/>
      <c r="Q13" s="60"/>
      <c r="R13" s="45"/>
      <c r="S13" s="69"/>
      <c r="T13" s="69"/>
      <c r="U13" s="69"/>
      <c r="V13" s="69"/>
      <c r="W13" s="69"/>
      <c r="X13" s="69"/>
      <c r="Y13" s="69"/>
      <c r="Z13" s="69"/>
    </row>
    <row r="14" spans="1:26" x14ac:dyDescent="0.3">
      <c r="A14" s="12" t="s">
        <v>154</v>
      </c>
      <c r="B14" s="12" t="s">
        <v>69</v>
      </c>
      <c r="C14" s="24">
        <f>TreeRecon!D13</f>
        <v>13</v>
      </c>
      <c r="D14" s="24">
        <f>TreeRecon!G13</f>
        <v>15</v>
      </c>
      <c r="E14" s="24">
        <v>0</v>
      </c>
      <c r="F14" s="55">
        <f t="shared" si="0"/>
        <v>0</v>
      </c>
      <c r="G14" s="24">
        <v>14</v>
      </c>
      <c r="H14" s="24" t="s">
        <v>141</v>
      </c>
      <c r="I14" s="24" t="s">
        <v>141</v>
      </c>
      <c r="J14" s="81">
        <f t="shared" si="1"/>
        <v>1.0769230769230769</v>
      </c>
      <c r="K14" s="84" t="s">
        <v>141</v>
      </c>
      <c r="L14" s="84" t="s">
        <v>141</v>
      </c>
      <c r="M14" s="84" t="s">
        <v>141</v>
      </c>
      <c r="N14" s="84" t="s">
        <v>141</v>
      </c>
      <c r="O14" s="24">
        <v>1</v>
      </c>
      <c r="P14" s="57">
        <v>0.87</v>
      </c>
      <c r="Q14" s="57">
        <v>0.82</v>
      </c>
      <c r="R14" s="24">
        <v>0.33800000000000002</v>
      </c>
      <c r="S14" s="24">
        <v>0.28000000000000003</v>
      </c>
      <c r="T14" s="24">
        <v>0.44</v>
      </c>
      <c r="U14" s="24">
        <f>T14-S14</f>
        <v>0.15999999999999998</v>
      </c>
      <c r="V14" s="72" t="s">
        <v>141</v>
      </c>
      <c r="W14" s="72" t="s">
        <v>141</v>
      </c>
      <c r="X14" s="72" t="s">
        <v>141</v>
      </c>
      <c r="Y14" s="72" t="s">
        <v>141</v>
      </c>
      <c r="Z14" s="72" t="s">
        <v>141</v>
      </c>
    </row>
    <row r="15" spans="1:26" x14ac:dyDescent="0.3">
      <c r="A15" s="12" t="s">
        <v>155</v>
      </c>
      <c r="B15" s="12" t="s">
        <v>136</v>
      </c>
      <c r="C15" s="24">
        <v>32</v>
      </c>
      <c r="D15" s="24">
        <v>69</v>
      </c>
      <c r="E15" s="24">
        <v>18</v>
      </c>
      <c r="F15" s="56">
        <f t="shared" si="0"/>
        <v>0.5625</v>
      </c>
      <c r="G15" s="24">
        <v>65</v>
      </c>
      <c r="H15" s="24">
        <f>65-32</f>
        <v>33</v>
      </c>
      <c r="I15" s="24">
        <v>16</v>
      </c>
      <c r="J15" s="81">
        <f t="shared" si="1"/>
        <v>2.03125</v>
      </c>
      <c r="K15" s="63">
        <v>1198</v>
      </c>
      <c r="L15" s="56">
        <f>K15/(C15*D15)</f>
        <v>0.54257246376811596</v>
      </c>
      <c r="M15" s="63">
        <v>303</v>
      </c>
      <c r="N15" s="56">
        <f>M15/(E15*D15)</f>
        <v>0.24396135265700483</v>
      </c>
      <c r="O15" s="24">
        <v>36</v>
      </c>
      <c r="P15" s="57">
        <v>0.71289999999999998</v>
      </c>
      <c r="Q15" s="57">
        <v>0.74890000000000001</v>
      </c>
      <c r="R15" s="24">
        <v>0.46400000000000002</v>
      </c>
      <c r="S15" s="20">
        <v>0.36</v>
      </c>
      <c r="T15" s="20">
        <v>0.46</v>
      </c>
      <c r="U15" s="20">
        <f>T15-S15</f>
        <v>0.10000000000000003</v>
      </c>
      <c r="V15" s="51">
        <v>1</v>
      </c>
      <c r="W15" s="51">
        <v>0</v>
      </c>
      <c r="X15" s="20" t="s">
        <v>168</v>
      </c>
      <c r="Y15" s="51">
        <f>2/18</f>
        <v>0.1111111111111111</v>
      </c>
      <c r="Z15" s="51">
        <f>15/18</f>
        <v>0.83333333333333337</v>
      </c>
    </row>
    <row r="16" spans="1:26" s="38" customFormat="1" ht="13.8" x14ac:dyDescent="0.3">
      <c r="B16" s="37" t="s">
        <v>179</v>
      </c>
      <c r="C16" s="45">
        <f>E15</f>
        <v>18</v>
      </c>
      <c r="D16" s="45">
        <f>G15</f>
        <v>65</v>
      </c>
      <c r="E16" s="45">
        <v>18</v>
      </c>
      <c r="F16" s="59">
        <f t="shared" si="0"/>
        <v>1</v>
      </c>
      <c r="G16" s="45" t="s">
        <v>141</v>
      </c>
      <c r="H16" s="45" t="s">
        <v>141</v>
      </c>
      <c r="I16" s="45">
        <f>I15</f>
        <v>16</v>
      </c>
      <c r="J16" s="82"/>
      <c r="K16" s="64" t="s">
        <v>141</v>
      </c>
      <c r="L16" s="67" t="s">
        <v>141</v>
      </c>
      <c r="M16" s="64">
        <f>M15</f>
        <v>303</v>
      </c>
      <c r="N16" s="59">
        <f>M16/(E16*D16)</f>
        <v>0.258974358974359</v>
      </c>
      <c r="O16" s="45">
        <v>74831</v>
      </c>
      <c r="P16" s="60">
        <v>0.59460000000000002</v>
      </c>
      <c r="Q16" s="60">
        <v>0.58330000000000004</v>
      </c>
      <c r="R16" s="68">
        <v>0.64</v>
      </c>
      <c r="S16" s="49" t="s">
        <v>141</v>
      </c>
      <c r="T16" s="49" t="s">
        <v>141</v>
      </c>
      <c r="U16" s="49"/>
      <c r="V16" s="50" t="s">
        <v>141</v>
      </c>
      <c r="W16" s="50" t="s">
        <v>141</v>
      </c>
      <c r="X16" s="49" t="s">
        <v>182</v>
      </c>
      <c r="Y16" s="50">
        <f>8/18</f>
        <v>0.44444444444444442</v>
      </c>
      <c r="Z16" s="50">
        <f>8/18</f>
        <v>0.44444444444444442</v>
      </c>
    </row>
    <row r="17" spans="1:26" x14ac:dyDescent="0.3">
      <c r="A17" s="12" t="s">
        <v>156</v>
      </c>
      <c r="B17" s="48" t="s">
        <v>137</v>
      </c>
      <c r="C17" s="24">
        <v>21</v>
      </c>
      <c r="D17" s="24">
        <v>69</v>
      </c>
      <c r="E17" s="24">
        <v>7</v>
      </c>
      <c r="F17" s="56">
        <f t="shared" si="0"/>
        <v>0.33333333333333331</v>
      </c>
      <c r="G17" s="24">
        <v>60</v>
      </c>
      <c r="H17" s="24"/>
      <c r="I17" s="24">
        <v>3</v>
      </c>
      <c r="J17" s="81">
        <f t="shared" si="1"/>
        <v>2.8571428571428572</v>
      </c>
      <c r="K17" s="63">
        <v>977</v>
      </c>
      <c r="L17" s="56">
        <f>K17/(C17*D17)</f>
        <v>0.6742581090407177</v>
      </c>
      <c r="M17" s="63">
        <v>82</v>
      </c>
      <c r="N17" s="56">
        <f>M17/(E17*D17)</f>
        <v>0.16977225672877846</v>
      </c>
      <c r="O17" s="24">
        <v>18</v>
      </c>
      <c r="P17" s="57">
        <v>0.82720000000000005</v>
      </c>
      <c r="Q17" s="57">
        <v>0.82720000000000005</v>
      </c>
      <c r="R17" s="24">
        <v>0.34300000000000003</v>
      </c>
      <c r="S17" s="20">
        <v>0.28999999999999998</v>
      </c>
      <c r="T17" s="20">
        <v>0.37</v>
      </c>
      <c r="U17" s="20">
        <f t="shared" ref="U17:U29" si="5">T17-S17</f>
        <v>8.0000000000000016E-2</v>
      </c>
      <c r="V17" s="51">
        <f>8/14</f>
        <v>0.5714285714285714</v>
      </c>
      <c r="W17" s="51">
        <f>6/14</f>
        <v>0.42857142857142855</v>
      </c>
      <c r="X17" s="20" t="s">
        <v>169</v>
      </c>
      <c r="Y17" s="51">
        <f>2/7</f>
        <v>0.2857142857142857</v>
      </c>
      <c r="Z17" s="51">
        <f>4/7</f>
        <v>0.5714285714285714</v>
      </c>
    </row>
    <row r="18" spans="1:26" x14ac:dyDescent="0.3">
      <c r="A18" s="12" t="s">
        <v>157</v>
      </c>
      <c r="B18" s="48" t="s">
        <v>139</v>
      </c>
      <c r="C18" s="24">
        <v>24</v>
      </c>
      <c r="D18" s="24">
        <v>69</v>
      </c>
      <c r="E18" s="24">
        <v>10</v>
      </c>
      <c r="F18" s="56">
        <f t="shared" si="0"/>
        <v>0.41666666666666669</v>
      </c>
      <c r="G18" s="24">
        <v>63</v>
      </c>
      <c r="H18" s="24"/>
      <c r="I18" s="24">
        <v>12</v>
      </c>
      <c r="J18" s="81">
        <f t="shared" si="1"/>
        <v>2.625</v>
      </c>
      <c r="K18" s="63">
        <v>1101</v>
      </c>
      <c r="L18" s="56">
        <f>K18/(C18*D18)</f>
        <v>0.66485507246376807</v>
      </c>
      <c r="M18" s="63">
        <v>206</v>
      </c>
      <c r="N18" s="56">
        <f>M18/(E18*D18)</f>
        <v>0.29855072463768118</v>
      </c>
      <c r="O18" s="24">
        <v>6</v>
      </c>
      <c r="P18" s="57">
        <v>0.71499999999999997</v>
      </c>
      <c r="Q18" s="57">
        <v>0.73170000000000002</v>
      </c>
      <c r="R18" s="24">
        <v>0.372</v>
      </c>
      <c r="S18" s="20">
        <v>0.3</v>
      </c>
      <c r="T18" s="20">
        <v>0.42</v>
      </c>
      <c r="U18" s="20">
        <f t="shared" si="5"/>
        <v>0.12</v>
      </c>
      <c r="V18" s="51">
        <f>11/14</f>
        <v>0.7857142857142857</v>
      </c>
      <c r="W18" s="51">
        <f>3/14</f>
        <v>0.21428571428571427</v>
      </c>
      <c r="X18" s="20" t="s">
        <v>170</v>
      </c>
      <c r="Y18" s="51">
        <f>1/7</f>
        <v>0.14285714285714285</v>
      </c>
      <c r="Z18" s="51">
        <f>6/7</f>
        <v>0.8571428571428571</v>
      </c>
    </row>
    <row r="19" spans="1:26" x14ac:dyDescent="0.3">
      <c r="A19" s="12" t="s">
        <v>158</v>
      </c>
      <c r="B19" s="48" t="s">
        <v>140</v>
      </c>
      <c r="C19" s="24">
        <v>16</v>
      </c>
      <c r="D19" s="24">
        <v>69</v>
      </c>
      <c r="E19" s="24">
        <v>2</v>
      </c>
      <c r="F19" s="56">
        <f t="shared" si="0"/>
        <v>0.125</v>
      </c>
      <c r="G19" s="24">
        <v>60</v>
      </c>
      <c r="H19" s="24" t="s">
        <v>141</v>
      </c>
      <c r="I19" s="24" t="s">
        <v>141</v>
      </c>
      <c r="J19" s="81">
        <f t="shared" si="1"/>
        <v>3.75</v>
      </c>
      <c r="K19" s="63">
        <v>952</v>
      </c>
      <c r="L19" s="56">
        <f>K19/(C19*D19)</f>
        <v>0.8623188405797102</v>
      </c>
      <c r="M19" s="63">
        <v>57</v>
      </c>
      <c r="N19" s="56">
        <f>M19/(E19*D19)</f>
        <v>0.41304347826086957</v>
      </c>
      <c r="O19" s="24">
        <v>6</v>
      </c>
      <c r="P19" s="57">
        <v>0.81479999999999997</v>
      </c>
      <c r="Q19" s="57">
        <v>0.80649999999999999</v>
      </c>
      <c r="R19" s="24">
        <v>0.23899999999999999</v>
      </c>
      <c r="S19" s="20">
        <v>0.19</v>
      </c>
      <c r="T19" s="20">
        <v>0.28999999999999998</v>
      </c>
      <c r="U19" s="20">
        <f t="shared" si="5"/>
        <v>9.9999999999999978E-2</v>
      </c>
      <c r="V19" s="51">
        <f>8/14</f>
        <v>0.5714285714285714</v>
      </c>
      <c r="W19" s="51">
        <f>6/14</f>
        <v>0.42857142857142855</v>
      </c>
      <c r="X19" s="20" t="s">
        <v>172</v>
      </c>
      <c r="Y19" s="51">
        <v>0</v>
      </c>
      <c r="Z19" s="51">
        <v>1</v>
      </c>
    </row>
    <row r="20" spans="1:26" x14ac:dyDescent="0.3">
      <c r="A20" s="12" t="s">
        <v>159</v>
      </c>
      <c r="B20" s="12" t="s">
        <v>74</v>
      </c>
      <c r="C20" s="24">
        <f>TreeRecon!D19</f>
        <v>27</v>
      </c>
      <c r="D20" s="24">
        <f>TreeRecon!G19</f>
        <v>20</v>
      </c>
      <c r="E20" s="24">
        <v>0</v>
      </c>
      <c r="F20" s="55">
        <f t="shared" si="0"/>
        <v>0</v>
      </c>
      <c r="G20" s="24">
        <v>20</v>
      </c>
      <c r="H20" s="24" t="s">
        <v>141</v>
      </c>
      <c r="I20" s="24" t="s">
        <v>141</v>
      </c>
      <c r="J20" s="81">
        <f t="shared" si="1"/>
        <v>0.7407407407407407</v>
      </c>
      <c r="K20" s="84" t="s">
        <v>141</v>
      </c>
      <c r="L20" s="84" t="s">
        <v>141</v>
      </c>
      <c r="M20" s="84" t="s">
        <v>141</v>
      </c>
      <c r="N20" s="84" t="s">
        <v>141</v>
      </c>
      <c r="O20" s="24">
        <v>80003</v>
      </c>
      <c r="P20" s="57">
        <v>0.30769999999999997</v>
      </c>
      <c r="Q20" s="57">
        <v>0.89659999999999995</v>
      </c>
      <c r="R20" s="24">
        <v>0.182</v>
      </c>
      <c r="S20" s="24">
        <v>0.36</v>
      </c>
      <c r="T20" s="24">
        <v>0.46</v>
      </c>
      <c r="U20" s="24">
        <f t="shared" si="5"/>
        <v>0.10000000000000003</v>
      </c>
      <c r="V20" s="72" t="s">
        <v>141</v>
      </c>
      <c r="W20" s="72" t="s">
        <v>141</v>
      </c>
      <c r="X20" s="72" t="s">
        <v>141</v>
      </c>
      <c r="Y20" s="72" t="s">
        <v>141</v>
      </c>
      <c r="Z20" s="72" t="s">
        <v>141</v>
      </c>
    </row>
    <row r="21" spans="1:26" x14ac:dyDescent="0.3">
      <c r="A21" s="12" t="s">
        <v>207</v>
      </c>
      <c r="B21" s="12" t="str">
        <f>TreeRecon!A20</f>
        <v>Ickert-Bond et al. (2007)</v>
      </c>
      <c r="C21" s="24">
        <f>TreeRecon!D20</f>
        <v>13</v>
      </c>
      <c r="D21" s="24">
        <f>TreeRecon!G20</f>
        <v>49</v>
      </c>
      <c r="E21" s="24">
        <v>1</v>
      </c>
      <c r="F21" s="55">
        <f>E21/C21</f>
        <v>7.6923076923076927E-2</v>
      </c>
      <c r="G21" s="24">
        <f>TreeRecon!H20</f>
        <v>42</v>
      </c>
      <c r="H21" s="24" t="s">
        <v>37</v>
      </c>
      <c r="I21" s="24" t="s">
        <v>37</v>
      </c>
      <c r="J21" s="81">
        <f>G21/C21</f>
        <v>3.2307692307692308</v>
      </c>
      <c r="K21" s="84" t="s">
        <v>37</v>
      </c>
      <c r="L21" s="84" t="s">
        <v>37</v>
      </c>
      <c r="M21" s="84" t="s">
        <v>37</v>
      </c>
      <c r="N21" s="84" t="s">
        <v>37</v>
      </c>
      <c r="O21" s="24">
        <f>TreeRecon!Q20</f>
        <v>1</v>
      </c>
      <c r="P21" s="57">
        <f>TreeRecon!S20</f>
        <v>0.7571</v>
      </c>
      <c r="Q21" s="57">
        <f>TreeRecon!T20</f>
        <v>0.85219999999999996</v>
      </c>
      <c r="R21" s="24" t="s">
        <v>37</v>
      </c>
      <c r="S21" s="24" t="s">
        <v>37</v>
      </c>
      <c r="T21" s="24" t="s">
        <v>37</v>
      </c>
      <c r="U21" s="24" t="e">
        <f t="shared" si="5"/>
        <v>#VALUE!</v>
      </c>
      <c r="V21" s="72" t="s">
        <v>37</v>
      </c>
      <c r="W21" s="72" t="s">
        <v>37</v>
      </c>
      <c r="X21" s="72" t="s">
        <v>37</v>
      </c>
      <c r="Y21" s="72" t="s">
        <v>37</v>
      </c>
      <c r="Z21" s="72" t="s">
        <v>37</v>
      </c>
    </row>
    <row r="22" spans="1:26" x14ac:dyDescent="0.3">
      <c r="A22" s="12" t="s">
        <v>194</v>
      </c>
      <c r="B22" s="12" t="str">
        <f>TreeRecon!A21</f>
        <v>Jordal et al. (2002)</v>
      </c>
      <c r="C22" s="24">
        <f>TreeRecon!D21</f>
        <v>32</v>
      </c>
      <c r="D22" s="24">
        <f>TreeRecon!G21</f>
        <v>31</v>
      </c>
      <c r="E22" s="24">
        <v>0</v>
      </c>
      <c r="F22" s="55">
        <f>E22/C22</f>
        <v>0</v>
      </c>
      <c r="G22" s="24">
        <f>TreeRecon!H21</f>
        <v>30</v>
      </c>
      <c r="H22" s="24" t="s">
        <v>141</v>
      </c>
      <c r="I22" s="24" t="s">
        <v>141</v>
      </c>
      <c r="J22" s="81">
        <f t="shared" si="1"/>
        <v>0.9375</v>
      </c>
      <c r="K22" s="84" t="s">
        <v>141</v>
      </c>
      <c r="L22" s="84" t="s">
        <v>141</v>
      </c>
      <c r="M22" s="84" t="s">
        <v>141</v>
      </c>
      <c r="N22" s="84" t="s">
        <v>141</v>
      </c>
      <c r="O22" s="24">
        <f>TreeRecon!Q21</f>
        <v>2</v>
      </c>
      <c r="P22" s="57">
        <f>TreeRecon!S21</f>
        <v>0.5444</v>
      </c>
      <c r="Q22" s="57">
        <f>TreeRecon!T21</f>
        <v>0.80479999999999996</v>
      </c>
      <c r="R22" s="24">
        <v>0.27700000000000002</v>
      </c>
      <c r="S22" s="24">
        <v>0.22</v>
      </c>
      <c r="T22" s="24">
        <v>0.4</v>
      </c>
      <c r="U22" s="24">
        <f t="shared" si="5"/>
        <v>0.18000000000000002</v>
      </c>
      <c r="V22" s="72" t="s">
        <v>141</v>
      </c>
      <c r="W22" s="72" t="s">
        <v>141</v>
      </c>
      <c r="X22" s="72" t="s">
        <v>141</v>
      </c>
      <c r="Y22" s="72" t="s">
        <v>141</v>
      </c>
      <c r="Z22" s="72" t="s">
        <v>141</v>
      </c>
    </row>
    <row r="23" spans="1:26" x14ac:dyDescent="0.3">
      <c r="A23" s="12" t="s">
        <v>195</v>
      </c>
      <c r="B23" s="12" t="str">
        <f>TreeRecon!A22</f>
        <v>Kress et al. (2001)</v>
      </c>
      <c r="C23" s="24">
        <f>TreeRecon!D22</f>
        <v>13</v>
      </c>
      <c r="D23" s="24">
        <f>TreeRecon!G22</f>
        <v>36</v>
      </c>
      <c r="E23" s="24">
        <v>0</v>
      </c>
      <c r="F23" s="55">
        <f>E23/C23</f>
        <v>0</v>
      </c>
      <c r="G23" s="24">
        <f>TreeRecon!H22</f>
        <v>35</v>
      </c>
      <c r="H23" s="24" t="s">
        <v>141</v>
      </c>
      <c r="I23" s="24" t="s">
        <v>141</v>
      </c>
      <c r="J23" s="81">
        <f t="shared" si="1"/>
        <v>2.6923076923076925</v>
      </c>
      <c r="K23" s="84" t="s">
        <v>141</v>
      </c>
      <c r="L23" s="84" t="s">
        <v>141</v>
      </c>
      <c r="M23" s="84" t="s">
        <v>141</v>
      </c>
      <c r="N23" s="84" t="s">
        <v>141</v>
      </c>
      <c r="O23" s="24">
        <f>TreeRecon!Q22</f>
        <v>1</v>
      </c>
      <c r="P23" s="57">
        <f>TreeRecon!S22</f>
        <v>0.61839999999999995</v>
      </c>
      <c r="Q23" s="57">
        <f>TreeRecon!T22</f>
        <v>0.68820000000000003</v>
      </c>
      <c r="R23" s="24">
        <v>0.314</v>
      </c>
      <c r="S23" s="24">
        <v>0.26</v>
      </c>
      <c r="T23" s="24">
        <v>0.42</v>
      </c>
      <c r="U23" s="24">
        <f t="shared" si="5"/>
        <v>0.15999999999999998</v>
      </c>
      <c r="V23" s="72" t="s">
        <v>141</v>
      </c>
      <c r="W23" s="72" t="s">
        <v>141</v>
      </c>
      <c r="X23" s="72" t="s">
        <v>141</v>
      </c>
      <c r="Y23" s="72" t="s">
        <v>141</v>
      </c>
      <c r="Z23" s="72" t="s">
        <v>141</v>
      </c>
    </row>
    <row r="24" spans="1:26" x14ac:dyDescent="0.3">
      <c r="A24" s="12" t="s">
        <v>196</v>
      </c>
      <c r="B24" s="12" t="str">
        <f>TreeRecon!A23</f>
        <v>Leht (2009)</v>
      </c>
      <c r="C24" s="24">
        <f>TreeRecon!D23</f>
        <v>48</v>
      </c>
      <c r="D24" s="24">
        <f>TreeRecon!G23</f>
        <v>210</v>
      </c>
      <c r="E24" s="24">
        <v>0</v>
      </c>
      <c r="F24" s="55">
        <f>E24/C24</f>
        <v>0</v>
      </c>
      <c r="G24" s="24">
        <f>TreeRecon!H23</f>
        <v>181</v>
      </c>
      <c r="H24" s="24" t="s">
        <v>141</v>
      </c>
      <c r="I24" s="24" t="s">
        <v>141</v>
      </c>
      <c r="J24" s="81">
        <f t="shared" si="1"/>
        <v>3.7708333333333335</v>
      </c>
      <c r="K24" s="84" t="s">
        <v>141</v>
      </c>
      <c r="L24" s="84" t="s">
        <v>141</v>
      </c>
      <c r="M24" s="84" t="s">
        <v>141</v>
      </c>
      <c r="N24" s="84" t="s">
        <v>141</v>
      </c>
      <c r="O24" s="24">
        <f>TreeRecon!Q23</f>
        <v>12</v>
      </c>
      <c r="P24" s="57">
        <f>TreeRecon!S23</f>
        <v>0.1368</v>
      </c>
      <c r="Q24" s="57">
        <f>TreeRecon!T23</f>
        <v>0.43990000000000001</v>
      </c>
      <c r="R24" s="24">
        <v>0.40899999999999997</v>
      </c>
      <c r="S24" s="24">
        <v>0.37</v>
      </c>
      <c r="T24" s="24">
        <v>0.44</v>
      </c>
      <c r="U24" s="24">
        <f t="shared" si="5"/>
        <v>7.0000000000000007E-2</v>
      </c>
      <c r="V24" s="72" t="s">
        <v>141</v>
      </c>
      <c r="W24" s="72" t="s">
        <v>141</v>
      </c>
      <c r="X24" s="72" t="s">
        <v>141</v>
      </c>
      <c r="Y24" s="72" t="s">
        <v>141</v>
      </c>
      <c r="Z24" s="72" t="s">
        <v>141</v>
      </c>
    </row>
    <row r="25" spans="1:26" x14ac:dyDescent="0.3">
      <c r="A25" s="12" t="s">
        <v>200</v>
      </c>
      <c r="B25" s="12" t="str">
        <f>TreeRecon!A24</f>
        <v>Lehtonen &amp; Myllys (2008)</v>
      </c>
      <c r="C25" s="24">
        <f>TreeRecon!D24</f>
        <v>70</v>
      </c>
      <c r="D25" s="24">
        <f>TreeRecon!G24</f>
        <v>86</v>
      </c>
      <c r="E25" s="24">
        <v>0</v>
      </c>
      <c r="F25" s="55">
        <f>E25/C25</f>
        <v>0</v>
      </c>
      <c r="G25" s="24">
        <f>TreeRecon!H24</f>
        <v>85</v>
      </c>
      <c r="H25" s="24" t="s">
        <v>141</v>
      </c>
      <c r="I25" s="24" t="s">
        <v>141</v>
      </c>
      <c r="J25" s="81">
        <f>G25/C25</f>
        <v>1.2142857142857142</v>
      </c>
      <c r="K25" s="84" t="s">
        <v>141</v>
      </c>
      <c r="L25" s="84" t="s">
        <v>141</v>
      </c>
      <c r="M25" s="84" t="s">
        <v>141</v>
      </c>
      <c r="N25" s="84" t="s">
        <v>141</v>
      </c>
      <c r="O25" s="24">
        <v>12763</v>
      </c>
      <c r="P25" s="57">
        <f>TreeRecon!S24</f>
        <v>0.29070000000000001</v>
      </c>
      <c r="Q25" s="57">
        <f>TreeRecon!T24</f>
        <v>0.74170000000000003</v>
      </c>
      <c r="R25" s="24">
        <v>0.33</v>
      </c>
      <c r="S25" s="24">
        <v>0.26</v>
      </c>
      <c r="T25" s="24">
        <v>0.38</v>
      </c>
      <c r="U25" s="24">
        <f>T25-S25</f>
        <v>0.12</v>
      </c>
      <c r="V25" s="72" t="s">
        <v>141</v>
      </c>
      <c r="W25" s="72" t="s">
        <v>141</v>
      </c>
      <c r="X25" s="72" t="s">
        <v>141</v>
      </c>
      <c r="Y25" s="72" t="s">
        <v>141</v>
      </c>
      <c r="Z25" s="72" t="s">
        <v>141</v>
      </c>
    </row>
    <row r="26" spans="1:26" x14ac:dyDescent="0.3">
      <c r="A26" s="12" t="s">
        <v>160</v>
      </c>
      <c r="B26" s="12" t="str">
        <f>TreeRecon!A25</f>
        <v>Les et al.(2005)</v>
      </c>
      <c r="C26" s="24">
        <f>TreeRecon!D25</f>
        <v>17</v>
      </c>
      <c r="D26" s="24">
        <f>TreeRecon!G25</f>
        <v>19</v>
      </c>
      <c r="E26" s="24">
        <v>0</v>
      </c>
      <c r="F26" s="55">
        <f t="shared" si="0"/>
        <v>0</v>
      </c>
      <c r="G26" s="24">
        <f>TreeRecon!H25</f>
        <v>16</v>
      </c>
      <c r="H26" s="24" t="s">
        <v>141</v>
      </c>
      <c r="I26" s="24" t="s">
        <v>141</v>
      </c>
      <c r="J26" s="81">
        <f t="shared" si="1"/>
        <v>0.94117647058823528</v>
      </c>
      <c r="K26" s="84" t="s">
        <v>141</v>
      </c>
      <c r="L26" s="84" t="s">
        <v>141</v>
      </c>
      <c r="M26" s="84" t="s">
        <v>141</v>
      </c>
      <c r="N26" s="84" t="s">
        <v>141</v>
      </c>
      <c r="O26" s="24">
        <v>6</v>
      </c>
      <c r="P26" s="57">
        <v>0.4884</v>
      </c>
      <c r="Q26" s="57">
        <v>0.67649999999999999</v>
      </c>
      <c r="R26" s="24">
        <v>0.35699999999999998</v>
      </c>
      <c r="S26" s="24">
        <v>0.3</v>
      </c>
      <c r="T26" s="24">
        <v>0.41</v>
      </c>
      <c r="U26" s="24">
        <f t="shared" si="5"/>
        <v>0.10999999999999999</v>
      </c>
      <c r="V26" s="72" t="s">
        <v>141</v>
      </c>
      <c r="W26" s="72" t="s">
        <v>141</v>
      </c>
      <c r="X26" s="72" t="s">
        <v>141</v>
      </c>
      <c r="Y26" s="72" t="s">
        <v>141</v>
      </c>
      <c r="Z26" s="72" t="s">
        <v>141</v>
      </c>
    </row>
    <row r="27" spans="1:26" x14ac:dyDescent="0.3">
      <c r="A27" s="12" t="s">
        <v>161</v>
      </c>
      <c r="B27" s="12" t="s">
        <v>64</v>
      </c>
      <c r="C27" s="24">
        <f>TreeRecon!D26</f>
        <v>33</v>
      </c>
      <c r="D27" s="24">
        <f>TreeRecon!G26</f>
        <v>64</v>
      </c>
      <c r="E27" s="24">
        <v>5</v>
      </c>
      <c r="F27" s="56">
        <f t="shared" si="0"/>
        <v>0.15151515151515152</v>
      </c>
      <c r="G27" s="24">
        <v>56</v>
      </c>
      <c r="H27" s="24">
        <v>20</v>
      </c>
      <c r="I27" s="24">
        <v>4</v>
      </c>
      <c r="J27" s="81">
        <f t="shared" si="1"/>
        <v>1.696969696969697</v>
      </c>
      <c r="K27" s="63">
        <v>1885</v>
      </c>
      <c r="L27" s="56">
        <f>K27/(C27*D27)</f>
        <v>0.89251893939393945</v>
      </c>
      <c r="M27" s="63">
        <v>163</v>
      </c>
      <c r="N27" s="56">
        <f>M27/(E27*D27)</f>
        <v>0.50937500000000002</v>
      </c>
      <c r="O27" s="24">
        <v>1436</v>
      </c>
      <c r="P27" s="57">
        <v>0.61</v>
      </c>
      <c r="Q27" s="57">
        <v>0.88</v>
      </c>
      <c r="R27" s="24">
        <v>0.222</v>
      </c>
      <c r="S27" s="20">
        <v>0.18</v>
      </c>
      <c r="T27" s="20">
        <v>0.31</v>
      </c>
      <c r="U27" s="20">
        <f t="shared" si="5"/>
        <v>0.13</v>
      </c>
      <c r="V27" s="51">
        <f>16/28</f>
        <v>0.5714285714285714</v>
      </c>
      <c r="W27" s="51">
        <f>10/28</f>
        <v>0.35714285714285715</v>
      </c>
      <c r="X27" s="20" t="s">
        <v>174</v>
      </c>
      <c r="Y27" s="51">
        <f>0/5</f>
        <v>0</v>
      </c>
      <c r="Z27" s="51">
        <f>5/5</f>
        <v>1</v>
      </c>
    </row>
    <row r="28" spans="1:26" x14ac:dyDescent="0.3">
      <c r="A28" s="12" t="s">
        <v>162</v>
      </c>
      <c r="B28" s="12" t="s">
        <v>72</v>
      </c>
      <c r="C28" s="24">
        <f>TreeRecon!D27</f>
        <v>28</v>
      </c>
      <c r="D28" s="24">
        <f>TreeRecon!G27</f>
        <v>33</v>
      </c>
      <c r="E28" s="24">
        <v>0</v>
      </c>
      <c r="F28" s="55">
        <f t="shared" si="0"/>
        <v>0</v>
      </c>
      <c r="G28" s="24">
        <v>33</v>
      </c>
      <c r="H28" s="24" t="s">
        <v>141</v>
      </c>
      <c r="I28" s="24" t="s">
        <v>141</v>
      </c>
      <c r="J28" s="81">
        <f t="shared" si="1"/>
        <v>1.1785714285714286</v>
      </c>
      <c r="K28" s="84" t="s">
        <v>141</v>
      </c>
      <c r="L28" s="84" t="s">
        <v>141</v>
      </c>
      <c r="M28" s="84" t="s">
        <v>141</v>
      </c>
      <c r="N28" s="84" t="s">
        <v>141</v>
      </c>
      <c r="O28" s="24">
        <v>6</v>
      </c>
      <c r="P28" s="57">
        <v>0.36759999999999998</v>
      </c>
      <c r="Q28" s="57">
        <v>0.53749999999999998</v>
      </c>
      <c r="R28" s="24">
        <v>0.40799999999999997</v>
      </c>
      <c r="S28" s="24">
        <v>0.37</v>
      </c>
      <c r="T28" s="24">
        <v>0.45</v>
      </c>
      <c r="U28" s="24">
        <f t="shared" si="5"/>
        <v>8.0000000000000016E-2</v>
      </c>
      <c r="V28" s="72" t="s">
        <v>141</v>
      </c>
      <c r="W28" s="72" t="s">
        <v>141</v>
      </c>
      <c r="X28" s="72" t="s">
        <v>141</v>
      </c>
      <c r="Y28" s="72" t="s">
        <v>141</v>
      </c>
      <c r="Z28" s="72" t="s">
        <v>141</v>
      </c>
    </row>
    <row r="29" spans="1:26" x14ac:dyDescent="0.3">
      <c r="A29" s="12" t="s">
        <v>163</v>
      </c>
      <c r="B29" s="12" t="s">
        <v>70</v>
      </c>
      <c r="C29" s="24">
        <f>TreeRecon!D28</f>
        <v>12</v>
      </c>
      <c r="D29" s="24">
        <f>TreeRecon!G28</f>
        <v>30</v>
      </c>
      <c r="E29" s="24">
        <v>0</v>
      </c>
      <c r="F29" s="55">
        <f t="shared" si="0"/>
        <v>0</v>
      </c>
      <c r="G29" s="24">
        <v>24</v>
      </c>
      <c r="H29" s="24" t="s">
        <v>141</v>
      </c>
      <c r="I29" s="24" t="s">
        <v>141</v>
      </c>
      <c r="J29" s="81">
        <f t="shared" si="1"/>
        <v>2</v>
      </c>
      <c r="K29" s="84" t="s">
        <v>141</v>
      </c>
      <c r="L29" s="84" t="s">
        <v>141</v>
      </c>
      <c r="M29" s="84" t="s">
        <v>141</v>
      </c>
      <c r="N29" s="84" t="s">
        <v>141</v>
      </c>
      <c r="O29" s="24">
        <v>8</v>
      </c>
      <c r="P29" s="57">
        <v>0.71430000000000005</v>
      </c>
      <c r="Q29" s="57">
        <v>0.77780000000000005</v>
      </c>
      <c r="R29" s="24">
        <v>0.214</v>
      </c>
      <c r="S29" s="24">
        <v>0.15</v>
      </c>
      <c r="T29" s="24">
        <v>0.28999999999999998</v>
      </c>
      <c r="U29" s="24">
        <f t="shared" si="5"/>
        <v>0.13999999999999999</v>
      </c>
      <c r="V29" s="72" t="s">
        <v>141</v>
      </c>
      <c r="W29" s="72" t="s">
        <v>141</v>
      </c>
      <c r="X29" s="72" t="s">
        <v>141</v>
      </c>
      <c r="Y29" s="72" t="s">
        <v>141</v>
      </c>
      <c r="Z29" s="72" t="s">
        <v>141</v>
      </c>
    </row>
    <row r="30" spans="1:26" x14ac:dyDescent="0.3">
      <c r="S30" s="20"/>
      <c r="T30" s="20"/>
      <c r="U30" s="20"/>
    </row>
    <row r="31" spans="1:26" x14ac:dyDescent="0.3">
      <c r="A31" s="12" t="s">
        <v>208</v>
      </c>
      <c r="B31" s="12" t="s">
        <v>209</v>
      </c>
      <c r="S31" s="51"/>
      <c r="T31" s="51"/>
      <c r="U31" s="51"/>
    </row>
    <row r="32" spans="1:26" x14ac:dyDescent="0.3">
      <c r="A32" s="12" t="s">
        <v>210</v>
      </c>
      <c r="B32" s="12" t="s">
        <v>211</v>
      </c>
      <c r="S32" s="52"/>
      <c r="T32" s="52"/>
      <c r="U32" s="52"/>
    </row>
    <row r="33" spans="1:21" x14ac:dyDescent="0.3">
      <c r="A33" s="12" t="s">
        <v>212</v>
      </c>
      <c r="B33" s="12" t="s">
        <v>213</v>
      </c>
      <c r="S33" s="20"/>
      <c r="T33" s="20"/>
      <c r="U33" s="20"/>
    </row>
    <row r="34" spans="1:21" x14ac:dyDescent="0.3">
      <c r="A34" s="12" t="s">
        <v>215</v>
      </c>
      <c r="B34" s="12" t="s">
        <v>214</v>
      </c>
      <c r="S34" s="53"/>
      <c r="T34" s="53"/>
      <c r="U34" s="53"/>
    </row>
    <row r="35" spans="1:21" x14ac:dyDescent="0.3">
      <c r="S35" s="53"/>
      <c r="T35" s="53"/>
      <c r="U35" s="53"/>
    </row>
  </sheetData>
  <autoFilter ref="A1:Z29" xr:uid="{00000000-0009-0000-0000-000000000000}"/>
  <phoneticPr fontId="2" type="noConversion"/>
  <conditionalFormatting sqref="R22:T29 R2:T2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1:T2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4"/>
  <sheetViews>
    <sheetView topLeftCell="A7" workbookViewId="0">
      <selection activeCell="A13" sqref="A13"/>
    </sheetView>
  </sheetViews>
  <sheetFormatPr baseColWidth="10" defaultColWidth="11.44140625" defaultRowHeight="15.6" x14ac:dyDescent="0.3"/>
  <cols>
    <col min="1" max="1" width="40.109375" style="1" customWidth="1"/>
    <col min="2" max="2" width="28.88671875" style="1" bestFit="1" customWidth="1"/>
    <col min="3" max="3" width="11.109375" style="1" customWidth="1"/>
    <col min="4" max="7" width="5.44140625" style="1" customWidth="1"/>
    <col min="8" max="9" width="6.88671875" style="1" customWidth="1"/>
    <col min="10" max="12" width="5.5546875" style="1" customWidth="1"/>
    <col min="13" max="15" width="6.88671875" style="1" customWidth="1"/>
    <col min="16" max="16" width="8.5546875" style="1" customWidth="1"/>
    <col min="17" max="17" width="7.6640625" style="1" customWidth="1"/>
    <col min="18" max="20" width="5.44140625" style="1" customWidth="1"/>
    <col min="21" max="23" width="6.88671875" style="8" customWidth="1"/>
    <col min="24" max="26" width="7.6640625" style="8" customWidth="1"/>
    <col min="27" max="16384" width="11.44140625" style="1"/>
  </cols>
  <sheetData>
    <row r="1" spans="1:26" x14ac:dyDescent="0.3">
      <c r="D1" s="85" t="s">
        <v>130</v>
      </c>
      <c r="E1" s="85"/>
      <c r="F1" s="85"/>
      <c r="G1" s="85"/>
      <c r="H1" s="85"/>
      <c r="I1" s="85"/>
      <c r="J1" s="85" t="s">
        <v>129</v>
      </c>
      <c r="K1" s="85"/>
      <c r="L1" s="85"/>
      <c r="M1" s="85"/>
      <c r="N1" s="85"/>
      <c r="O1" s="85"/>
      <c r="P1" s="85" t="s">
        <v>126</v>
      </c>
      <c r="Q1" s="85"/>
      <c r="R1" s="85"/>
      <c r="S1" s="85"/>
      <c r="T1" s="85"/>
      <c r="U1" s="85"/>
      <c r="V1" s="85"/>
      <c r="W1" s="85"/>
      <c r="X1" s="85" t="s">
        <v>127</v>
      </c>
      <c r="Y1" s="85"/>
      <c r="Z1" s="85"/>
    </row>
    <row r="2" spans="1:26" ht="136.5" customHeight="1" x14ac:dyDescent="0.3">
      <c r="A2" s="13" t="s">
        <v>0</v>
      </c>
      <c r="B2" s="13" t="s">
        <v>57</v>
      </c>
      <c r="C2" s="13" t="s">
        <v>42</v>
      </c>
      <c r="D2" s="40" t="s">
        <v>133</v>
      </c>
      <c r="E2" s="40" t="s">
        <v>22</v>
      </c>
      <c r="F2" s="40" t="s">
        <v>41</v>
      </c>
      <c r="G2" s="40" t="s">
        <v>15</v>
      </c>
      <c r="H2" s="74" t="s">
        <v>48</v>
      </c>
      <c r="I2" s="74" t="s">
        <v>192</v>
      </c>
      <c r="J2" s="40" t="s">
        <v>203</v>
      </c>
      <c r="K2" s="40" t="s">
        <v>29</v>
      </c>
      <c r="L2" s="40" t="s">
        <v>30</v>
      </c>
      <c r="M2" s="74" t="s">
        <v>131</v>
      </c>
      <c r="N2" s="74" t="s">
        <v>191</v>
      </c>
      <c r="O2" s="74" t="s">
        <v>198</v>
      </c>
      <c r="P2" s="40" t="s">
        <v>25</v>
      </c>
      <c r="Q2" s="74" t="s">
        <v>47</v>
      </c>
      <c r="R2" s="40" t="s">
        <v>21</v>
      </c>
      <c r="S2" s="40" t="s">
        <v>24</v>
      </c>
      <c r="T2" s="40" t="s">
        <v>16</v>
      </c>
      <c r="U2" s="74" t="s">
        <v>131</v>
      </c>
      <c r="V2" s="74" t="s">
        <v>191</v>
      </c>
      <c r="W2" s="74" t="s">
        <v>198</v>
      </c>
      <c r="X2" s="74" t="s">
        <v>128</v>
      </c>
      <c r="Y2" s="74" t="s">
        <v>191</v>
      </c>
      <c r="Z2" s="74" t="s">
        <v>199</v>
      </c>
    </row>
    <row r="3" spans="1:26" x14ac:dyDescent="0.3">
      <c r="A3" s="1" t="s">
        <v>77</v>
      </c>
      <c r="B3" s="1" t="s">
        <v>76</v>
      </c>
      <c r="C3" s="1" t="s">
        <v>45</v>
      </c>
      <c r="D3" s="1">
        <v>42</v>
      </c>
      <c r="E3" s="7" t="s">
        <v>37</v>
      </c>
      <c r="F3" s="1">
        <v>0</v>
      </c>
      <c r="G3" s="1">
        <v>50</v>
      </c>
      <c r="H3" s="1">
        <v>46</v>
      </c>
      <c r="I3" s="19">
        <f>'Data situation'!R2</f>
        <v>0.34399999999999997</v>
      </c>
      <c r="J3" s="1">
        <v>364</v>
      </c>
      <c r="K3" s="1">
        <v>0.68959999999999999</v>
      </c>
      <c r="L3" s="1">
        <v>0.71030000000000004</v>
      </c>
      <c r="M3" s="1">
        <v>18</v>
      </c>
      <c r="N3" s="75">
        <f t="shared" ref="N3:N10" si="0">M3/($D3-2)</f>
        <v>0.45</v>
      </c>
      <c r="O3" s="1">
        <v>7</v>
      </c>
      <c r="P3" s="1" t="s">
        <v>27</v>
      </c>
      <c r="Q3" s="1">
        <v>1150</v>
      </c>
      <c r="R3" s="1">
        <v>355</v>
      </c>
      <c r="S3" s="1">
        <v>0.70699999999999996</v>
      </c>
      <c r="T3" s="1">
        <v>0.73329999999999995</v>
      </c>
      <c r="U3" s="8">
        <v>10</v>
      </c>
      <c r="V3" s="75">
        <f t="shared" ref="V3:V10" si="1">U3/($D3-2)</f>
        <v>0.25</v>
      </c>
      <c r="W3" s="8">
        <v>3</v>
      </c>
      <c r="X3" s="8">
        <v>26</v>
      </c>
      <c r="Y3" s="75">
        <f t="shared" ref="Y3:Y14" si="2">X3/($D3-2)</f>
        <v>0.65</v>
      </c>
      <c r="Z3" s="8">
        <v>7</v>
      </c>
    </row>
    <row r="4" spans="1:26" ht="18.600000000000001" x14ac:dyDescent="0.3">
      <c r="A4" s="1" t="s">
        <v>105</v>
      </c>
      <c r="B4" s="2" t="s">
        <v>110</v>
      </c>
      <c r="C4" s="1" t="s">
        <v>43</v>
      </c>
      <c r="D4" s="1">
        <v>45</v>
      </c>
      <c r="E4" s="7">
        <v>7</v>
      </c>
      <c r="F4" s="1">
        <v>0</v>
      </c>
      <c r="G4" s="1">
        <v>25</v>
      </c>
      <c r="H4" s="1">
        <v>25</v>
      </c>
      <c r="I4" s="19">
        <f>'Data situation'!R3</f>
        <v>0.34899999999999998</v>
      </c>
      <c r="J4" s="1">
        <v>119</v>
      </c>
      <c r="K4" s="1">
        <v>0.33610000000000001</v>
      </c>
      <c r="L4" s="1">
        <v>0.69730000000000003</v>
      </c>
      <c r="M4" s="1">
        <v>10</v>
      </c>
      <c r="N4" s="75">
        <f t="shared" si="0"/>
        <v>0.23255813953488372</v>
      </c>
      <c r="O4" s="1">
        <v>1</v>
      </c>
      <c r="P4" s="1" t="s">
        <v>27</v>
      </c>
      <c r="Q4" s="18" t="s">
        <v>101</v>
      </c>
      <c r="R4" s="1">
        <v>110</v>
      </c>
      <c r="S4" s="1">
        <v>0.36359999999999998</v>
      </c>
      <c r="T4" s="1">
        <v>0.73180000000000001</v>
      </c>
      <c r="U4" s="8">
        <v>0</v>
      </c>
      <c r="V4" s="75">
        <f t="shared" si="1"/>
        <v>0</v>
      </c>
      <c r="W4" s="8">
        <v>0</v>
      </c>
      <c r="X4" s="21">
        <v>11</v>
      </c>
      <c r="Y4" s="75">
        <f t="shared" si="2"/>
        <v>0.2558139534883721</v>
      </c>
      <c r="Z4" s="21">
        <v>2</v>
      </c>
    </row>
    <row r="5" spans="1:26" x14ac:dyDescent="0.3">
      <c r="A5" s="1" t="s">
        <v>68</v>
      </c>
      <c r="B5" s="1" t="s">
        <v>60</v>
      </c>
      <c r="C5" s="1" t="s">
        <v>43</v>
      </c>
      <c r="D5" s="1">
        <v>17</v>
      </c>
      <c r="E5" s="1">
        <v>4</v>
      </c>
      <c r="F5" s="1">
        <v>3</v>
      </c>
      <c r="G5" s="1">
        <v>42</v>
      </c>
      <c r="H5" s="1">
        <v>29</v>
      </c>
      <c r="I5" s="1">
        <f>'Data situation'!R4</f>
        <v>0.375</v>
      </c>
      <c r="J5" s="1">
        <v>128</v>
      </c>
      <c r="K5" s="1">
        <v>0.84</v>
      </c>
      <c r="L5" s="1">
        <v>0.74</v>
      </c>
      <c r="M5" s="1">
        <v>8</v>
      </c>
      <c r="N5" s="75">
        <f t="shared" si="0"/>
        <v>0.53333333333333333</v>
      </c>
      <c r="P5" s="1" t="s">
        <v>26</v>
      </c>
      <c r="Q5" s="1">
        <v>111</v>
      </c>
      <c r="R5" s="1">
        <v>127</v>
      </c>
      <c r="S5" s="1">
        <v>0.84</v>
      </c>
      <c r="T5" s="1">
        <v>0.75</v>
      </c>
      <c r="U5" s="8">
        <v>6</v>
      </c>
      <c r="V5" s="75">
        <f t="shared" si="1"/>
        <v>0.4</v>
      </c>
      <c r="X5" s="21">
        <v>6</v>
      </c>
      <c r="Y5" s="75">
        <f t="shared" si="2"/>
        <v>0.4</v>
      </c>
      <c r="Z5" s="21"/>
    </row>
    <row r="6" spans="1:26" x14ac:dyDescent="0.3">
      <c r="A6" s="12" t="s">
        <v>67</v>
      </c>
      <c r="B6" s="22" t="s">
        <v>1</v>
      </c>
      <c r="C6" s="12" t="s">
        <v>43</v>
      </c>
      <c r="D6" s="12">
        <v>8</v>
      </c>
      <c r="E6" s="12">
        <v>2</v>
      </c>
      <c r="F6" s="12">
        <v>0</v>
      </c>
      <c r="G6" s="12">
        <v>14</v>
      </c>
      <c r="H6" s="12">
        <v>9</v>
      </c>
      <c r="I6" s="70">
        <f>'Data situation'!R5</f>
        <v>0.36399999999999999</v>
      </c>
      <c r="J6" s="12">
        <v>28</v>
      </c>
      <c r="K6" s="12">
        <v>0.79</v>
      </c>
      <c r="L6" s="12">
        <v>0.63</v>
      </c>
      <c r="M6" s="12">
        <v>3</v>
      </c>
      <c r="N6" s="76">
        <f t="shared" si="0"/>
        <v>0.5</v>
      </c>
      <c r="O6" s="12">
        <v>1</v>
      </c>
      <c r="P6" s="12" t="s">
        <v>26</v>
      </c>
      <c r="Q6" s="12">
        <v>4</v>
      </c>
      <c r="R6" s="12">
        <v>28</v>
      </c>
      <c r="S6" s="12">
        <v>0.79</v>
      </c>
      <c r="T6" s="12">
        <v>0.63</v>
      </c>
      <c r="U6" s="23">
        <v>2</v>
      </c>
      <c r="V6" s="76">
        <f t="shared" si="1"/>
        <v>0.33333333333333331</v>
      </c>
      <c r="W6" s="23">
        <v>0</v>
      </c>
      <c r="X6" s="41">
        <v>1</v>
      </c>
      <c r="Y6" s="76">
        <f t="shared" si="2"/>
        <v>0.16666666666666666</v>
      </c>
      <c r="Z6" s="41">
        <v>0</v>
      </c>
    </row>
    <row r="7" spans="1:26" ht="18.600000000000001" x14ac:dyDescent="0.3">
      <c r="A7" s="12" t="s">
        <v>135</v>
      </c>
      <c r="B7" s="17" t="s">
        <v>66</v>
      </c>
      <c r="C7" s="1" t="s">
        <v>46</v>
      </c>
      <c r="D7" s="1">
        <v>50</v>
      </c>
      <c r="E7" s="5" t="s">
        <v>31</v>
      </c>
      <c r="F7" s="1">
        <v>26</v>
      </c>
      <c r="G7" s="1">
        <v>102</v>
      </c>
      <c r="H7" s="1">
        <v>101</v>
      </c>
      <c r="I7" s="1">
        <f>'Data situation'!R6</f>
        <v>0.308</v>
      </c>
      <c r="J7" s="36"/>
      <c r="K7" s="36"/>
      <c r="L7" s="36"/>
      <c r="M7" s="19">
        <v>29</v>
      </c>
      <c r="N7" s="77">
        <f t="shared" si="0"/>
        <v>0.60416666666666663</v>
      </c>
      <c r="O7" s="19"/>
      <c r="P7" s="1" t="s">
        <v>27</v>
      </c>
      <c r="Q7" s="1">
        <v>21493</v>
      </c>
      <c r="R7" s="1">
        <v>359</v>
      </c>
      <c r="S7" s="1">
        <v>0.52</v>
      </c>
      <c r="T7" s="6">
        <v>0.8</v>
      </c>
      <c r="U7" s="21">
        <v>20</v>
      </c>
      <c r="V7" s="77">
        <f t="shared" si="1"/>
        <v>0.41666666666666669</v>
      </c>
      <c r="W7" s="21"/>
      <c r="X7" s="21">
        <v>32</v>
      </c>
      <c r="Y7" s="77">
        <f t="shared" si="2"/>
        <v>0.66666666666666663</v>
      </c>
      <c r="Z7" s="21"/>
    </row>
    <row r="8" spans="1:26" x14ac:dyDescent="0.3">
      <c r="A8" s="1" t="s">
        <v>188</v>
      </c>
      <c r="B8" s="1" t="s">
        <v>132</v>
      </c>
      <c r="C8" s="1" t="s">
        <v>46</v>
      </c>
      <c r="D8" s="1">
        <v>56</v>
      </c>
      <c r="E8" s="1">
        <v>1</v>
      </c>
      <c r="F8" s="1">
        <v>1</v>
      </c>
      <c r="G8" s="1">
        <v>114</v>
      </c>
      <c r="H8" s="1">
        <v>112</v>
      </c>
      <c r="I8" s="1">
        <f>'Data situation'!R8</f>
        <v>0.38500000000000001</v>
      </c>
      <c r="J8" s="1">
        <v>1065</v>
      </c>
      <c r="K8" s="1">
        <v>0.42980000000000002</v>
      </c>
      <c r="L8" s="1">
        <v>0.56630000000000003</v>
      </c>
      <c r="M8" s="1">
        <v>26</v>
      </c>
      <c r="N8" s="75">
        <f t="shared" si="0"/>
        <v>0.48148148148148145</v>
      </c>
      <c r="P8" s="1" t="s">
        <v>27</v>
      </c>
      <c r="Q8" s="1">
        <v>338</v>
      </c>
      <c r="R8" s="1">
        <v>1048</v>
      </c>
      <c r="S8" s="1">
        <v>0.43680000000000002</v>
      </c>
      <c r="T8" s="1">
        <v>0.57850000000000001</v>
      </c>
      <c r="U8" s="8">
        <v>15</v>
      </c>
      <c r="V8" s="75">
        <f t="shared" si="1"/>
        <v>0.27777777777777779</v>
      </c>
      <c r="X8" s="21"/>
      <c r="Y8" s="75">
        <f t="shared" si="2"/>
        <v>0</v>
      </c>
      <c r="Z8" s="21"/>
    </row>
    <row r="9" spans="1:26" s="19" customFormat="1" x14ac:dyDescent="0.3">
      <c r="A9" s="1" t="s">
        <v>187</v>
      </c>
      <c r="B9" s="1" t="s">
        <v>145</v>
      </c>
      <c r="C9" s="1" t="s">
        <v>45</v>
      </c>
      <c r="D9" s="19">
        <v>9</v>
      </c>
      <c r="E9" s="20">
        <v>0</v>
      </c>
      <c r="F9" s="19">
        <v>1</v>
      </c>
      <c r="G9" s="19">
        <v>69</v>
      </c>
      <c r="H9" s="19">
        <v>49</v>
      </c>
      <c r="I9" s="19">
        <f>'Data situation'!R9</f>
        <v>0.29599999999999999</v>
      </c>
      <c r="J9" s="19">
        <f>R9</f>
        <v>102</v>
      </c>
      <c r="K9" s="19">
        <f>S9</f>
        <v>0.77110000000000001</v>
      </c>
      <c r="L9" s="19">
        <f>T9</f>
        <v>0.76249999999999996</v>
      </c>
      <c r="M9" s="19">
        <v>6</v>
      </c>
      <c r="N9" s="77">
        <f t="shared" si="0"/>
        <v>0.8571428571428571</v>
      </c>
      <c r="P9" s="19" t="s">
        <v>26</v>
      </c>
      <c r="Q9" s="20">
        <v>1</v>
      </c>
      <c r="R9" s="19">
        <v>102</v>
      </c>
      <c r="S9" s="19">
        <v>0.77110000000000001</v>
      </c>
      <c r="T9" s="19">
        <v>0.76249999999999996</v>
      </c>
      <c r="U9" s="21">
        <v>4</v>
      </c>
      <c r="V9" s="77">
        <f t="shared" si="1"/>
        <v>0.5714285714285714</v>
      </c>
      <c r="W9" s="21"/>
      <c r="X9" s="21"/>
      <c r="Y9" s="77">
        <f t="shared" si="2"/>
        <v>0</v>
      </c>
      <c r="Z9" s="21"/>
    </row>
    <row r="10" spans="1:26" x14ac:dyDescent="0.3">
      <c r="A10" s="1" t="s">
        <v>113</v>
      </c>
      <c r="B10" s="1" t="s">
        <v>61</v>
      </c>
      <c r="C10" s="1" t="s">
        <v>190</v>
      </c>
      <c r="D10" s="1">
        <v>22</v>
      </c>
      <c r="E10" s="1">
        <v>1</v>
      </c>
      <c r="F10" s="1">
        <v>11</v>
      </c>
      <c r="G10" s="1">
        <v>40</v>
      </c>
      <c r="H10" s="1">
        <v>38</v>
      </c>
      <c r="I10" s="1">
        <f>'Data situation'!R10</f>
        <v>0.32600000000000001</v>
      </c>
      <c r="J10" s="1">
        <v>96</v>
      </c>
      <c r="K10" s="1">
        <v>0.66669999999999996</v>
      </c>
      <c r="L10" s="1">
        <v>0.77459999999999996</v>
      </c>
      <c r="M10" s="1">
        <v>8</v>
      </c>
      <c r="N10" s="75">
        <f t="shared" si="0"/>
        <v>0.4</v>
      </c>
      <c r="P10" s="1" t="s">
        <v>26</v>
      </c>
      <c r="Q10" s="1">
        <v>18</v>
      </c>
      <c r="R10" s="1">
        <v>93</v>
      </c>
      <c r="S10" s="1">
        <v>0.68820000000000003</v>
      </c>
      <c r="T10" s="1">
        <v>0.79579999999999995</v>
      </c>
      <c r="U10" s="8">
        <v>8</v>
      </c>
      <c r="V10" s="75">
        <f t="shared" si="1"/>
        <v>0.4</v>
      </c>
      <c r="X10" s="21">
        <v>11</v>
      </c>
      <c r="Y10" s="75">
        <f t="shared" si="2"/>
        <v>0.55000000000000004</v>
      </c>
      <c r="Z10" s="21"/>
    </row>
    <row r="11" spans="1:26" s="10" customFormat="1" x14ac:dyDescent="0.3">
      <c r="A11" s="9" t="s">
        <v>78</v>
      </c>
      <c r="D11" s="10">
        <v>21</v>
      </c>
      <c r="E11" s="10">
        <v>1</v>
      </c>
      <c r="F11" s="10">
        <v>11</v>
      </c>
      <c r="G11" s="10">
        <v>40</v>
      </c>
      <c r="I11" s="1"/>
      <c r="J11" s="10">
        <v>95</v>
      </c>
      <c r="K11" s="10">
        <v>0.67369999999999997</v>
      </c>
      <c r="L11" s="10">
        <v>0.77039999999999997</v>
      </c>
      <c r="N11" s="78"/>
      <c r="U11" s="11"/>
      <c r="V11" s="78"/>
      <c r="W11" s="11"/>
      <c r="X11" s="42"/>
      <c r="Y11" s="78"/>
      <c r="Z11" s="42"/>
    </row>
    <row r="12" spans="1:26" s="38" customFormat="1" ht="13.2" x14ac:dyDescent="0.25">
      <c r="A12" s="37" t="s">
        <v>79</v>
      </c>
      <c r="D12" s="38">
        <v>21</v>
      </c>
      <c r="E12" s="38">
        <v>1</v>
      </c>
      <c r="F12" s="38">
        <v>11</v>
      </c>
      <c r="G12" s="38">
        <v>40</v>
      </c>
      <c r="J12" s="38">
        <v>95</v>
      </c>
      <c r="K12" s="38">
        <v>0.67369999999999997</v>
      </c>
      <c r="L12" s="38">
        <v>0.77039999999999997</v>
      </c>
      <c r="N12" s="79"/>
      <c r="U12" s="39"/>
      <c r="V12" s="79"/>
      <c r="W12" s="39"/>
      <c r="X12" s="43"/>
      <c r="Y12" s="79"/>
      <c r="Z12" s="43"/>
    </row>
    <row r="13" spans="1:26" x14ac:dyDescent="0.3">
      <c r="A13" s="1" t="s">
        <v>69</v>
      </c>
      <c r="B13" s="2" t="s">
        <v>58</v>
      </c>
      <c r="C13" s="1" t="s">
        <v>43</v>
      </c>
      <c r="D13" s="1">
        <v>13</v>
      </c>
      <c r="E13" s="1">
        <v>1</v>
      </c>
      <c r="F13" s="1">
        <v>0</v>
      </c>
      <c r="G13" s="1">
        <v>15</v>
      </c>
      <c r="H13" s="1">
        <f>G13-1</f>
        <v>14</v>
      </c>
      <c r="I13" s="19">
        <f>'Data situation'!R14</f>
        <v>0.33800000000000002</v>
      </c>
      <c r="J13" s="1">
        <v>55</v>
      </c>
      <c r="K13" s="1">
        <v>0.85</v>
      </c>
      <c r="L13" s="1">
        <v>0.79</v>
      </c>
      <c r="M13" s="1">
        <v>4</v>
      </c>
      <c r="N13" s="75">
        <f>M13/($D13-2)</f>
        <v>0.36363636363636365</v>
      </c>
      <c r="O13" s="1">
        <v>3</v>
      </c>
      <c r="P13" s="1" t="s">
        <v>26</v>
      </c>
      <c r="Q13" s="1">
        <v>1</v>
      </c>
      <c r="R13" s="1">
        <v>54</v>
      </c>
      <c r="S13" s="1">
        <v>0.87</v>
      </c>
      <c r="T13" s="1">
        <v>0.82</v>
      </c>
      <c r="U13" s="8">
        <v>4</v>
      </c>
      <c r="V13" s="75">
        <f>U13/($D13-2)</f>
        <v>0.36363636363636365</v>
      </c>
      <c r="W13" s="8">
        <v>2</v>
      </c>
      <c r="X13" s="21">
        <v>5</v>
      </c>
      <c r="Y13" s="75">
        <f t="shared" si="2"/>
        <v>0.45454545454545453</v>
      </c>
      <c r="Z13" s="21">
        <v>3</v>
      </c>
    </row>
    <row r="14" spans="1:26" x14ac:dyDescent="0.3">
      <c r="A14" s="1" t="s">
        <v>136</v>
      </c>
      <c r="B14" s="1" t="s">
        <v>189</v>
      </c>
      <c r="C14" s="1" t="s">
        <v>44</v>
      </c>
      <c r="D14" s="1">
        <f>'Data situation'!C15</f>
        <v>32</v>
      </c>
      <c r="E14" s="7" t="s">
        <v>31</v>
      </c>
      <c r="F14" s="1">
        <f>'Data situation'!E15</f>
        <v>18</v>
      </c>
      <c r="G14" s="1">
        <f>'Data situation'!D15</f>
        <v>69</v>
      </c>
      <c r="H14" s="1">
        <f>'Data situation'!G15</f>
        <v>65</v>
      </c>
      <c r="I14" s="1">
        <f>'Data situation'!R15</f>
        <v>0.46400000000000002</v>
      </c>
      <c r="M14" s="1">
        <v>11</v>
      </c>
      <c r="N14" s="75">
        <f>M14/($D14-2)</f>
        <v>0.36666666666666664</v>
      </c>
      <c r="P14" s="1" t="s">
        <v>27</v>
      </c>
      <c r="Q14" s="7">
        <f>'Data situation'!O15</f>
        <v>36</v>
      </c>
      <c r="R14" s="1">
        <v>154</v>
      </c>
      <c r="S14" s="6">
        <f>'Data situation'!P15</f>
        <v>0.71289999999999998</v>
      </c>
      <c r="T14" s="6">
        <f>'Data situation'!Q15</f>
        <v>0.74890000000000001</v>
      </c>
      <c r="U14" s="8">
        <v>8</v>
      </c>
      <c r="V14" s="75">
        <f>U14/($D14-2)</f>
        <v>0.26666666666666666</v>
      </c>
      <c r="X14" s="21">
        <v>9</v>
      </c>
      <c r="Y14" s="75">
        <f t="shared" si="2"/>
        <v>0.3</v>
      </c>
      <c r="Z14" s="21"/>
    </row>
    <row r="15" spans="1:26" x14ac:dyDescent="0.3">
      <c r="A15" s="80" t="str">
        <f>'Data situation'!B16</f>
        <v>Excluding all extant taxa and PUS</v>
      </c>
      <c r="D15" s="1">
        <f>'Data situation'!C16</f>
        <v>18</v>
      </c>
      <c r="E15" s="7" t="s">
        <v>31</v>
      </c>
      <c r="F15" s="1">
        <f>'Data situation'!E16</f>
        <v>18</v>
      </c>
      <c r="G15" s="1">
        <f>'Data situation'!D16</f>
        <v>65</v>
      </c>
      <c r="H15" s="1" t="str">
        <f>'Data situation'!G16</f>
        <v>~</v>
      </c>
      <c r="I15" s="1">
        <f>'Data situation'!R16</f>
        <v>0.64</v>
      </c>
      <c r="N15" s="75"/>
      <c r="Q15" s="7">
        <f>'Data situation'!O16</f>
        <v>74831</v>
      </c>
      <c r="S15" s="6">
        <f>'Data situation'!P16</f>
        <v>0.59460000000000002</v>
      </c>
      <c r="T15" s="6">
        <f>'Data situation'!Q16</f>
        <v>0.58330000000000004</v>
      </c>
      <c r="V15" s="75"/>
      <c r="X15" s="21"/>
      <c r="Y15" s="75"/>
      <c r="Z15" s="21"/>
    </row>
    <row r="16" spans="1:26" x14ac:dyDescent="0.3">
      <c r="A16" s="80" t="str">
        <f>'Data situation'!B17</f>
        <v>Including only stem fossils</v>
      </c>
      <c r="D16" s="1">
        <f>'Data situation'!C17</f>
        <v>21</v>
      </c>
      <c r="E16" s="7" t="s">
        <v>31</v>
      </c>
      <c r="F16" s="1">
        <f>'Data situation'!E17</f>
        <v>7</v>
      </c>
      <c r="G16" s="1">
        <f>'Data situation'!D17</f>
        <v>69</v>
      </c>
      <c r="H16" s="1">
        <f>'Data situation'!G17</f>
        <v>60</v>
      </c>
      <c r="I16" s="1">
        <f>'Data situation'!R17</f>
        <v>0.34300000000000003</v>
      </c>
      <c r="N16" s="75"/>
      <c r="Q16" s="7">
        <f>'Data situation'!O17</f>
        <v>18</v>
      </c>
      <c r="S16" s="6">
        <f>'Data situation'!P17</f>
        <v>0.82720000000000005</v>
      </c>
      <c r="T16" s="6">
        <f>'Data situation'!Q17</f>
        <v>0.82720000000000005</v>
      </c>
      <c r="V16" s="75"/>
      <c r="X16" s="21"/>
      <c r="Y16" s="75"/>
      <c r="Z16" s="21"/>
    </row>
    <row r="17" spans="1:26" x14ac:dyDescent="0.3">
      <c r="A17" s="80" t="str">
        <f>'Data situation'!B18</f>
        <v>Excluding stem fossils</v>
      </c>
      <c r="D17" s="1">
        <f>'Data situation'!C18</f>
        <v>24</v>
      </c>
      <c r="E17" s="7" t="s">
        <v>31</v>
      </c>
      <c r="F17" s="1">
        <f>'Data situation'!E18</f>
        <v>10</v>
      </c>
      <c r="G17" s="1">
        <f>'Data situation'!D18</f>
        <v>69</v>
      </c>
      <c r="H17" s="1">
        <f>'Data situation'!G18</f>
        <v>63</v>
      </c>
      <c r="I17" s="1">
        <f>'Data situation'!R18</f>
        <v>0.372</v>
      </c>
      <c r="N17" s="75"/>
      <c r="Q17" s="7">
        <f>'Data situation'!O18</f>
        <v>6</v>
      </c>
      <c r="S17" s="6">
        <f>'Data situation'!P18</f>
        <v>0.71499999999999997</v>
      </c>
      <c r="T17" s="6">
        <f>'Data situation'!Q18</f>
        <v>0.73170000000000002</v>
      </c>
      <c r="V17" s="75"/>
      <c r="X17" s="21"/>
      <c r="Y17" s="75"/>
      <c r="Z17" s="21"/>
    </row>
    <row r="18" spans="1:26" x14ac:dyDescent="0.3">
      <c r="A18" s="80" t="str">
        <f>'Data situation'!B19</f>
        <v>Including only fossils with reproductive structures</v>
      </c>
      <c r="D18" s="1">
        <f>'Data situation'!C19</f>
        <v>16</v>
      </c>
      <c r="E18" s="7" t="s">
        <v>31</v>
      </c>
      <c r="F18" s="1">
        <f>'Data situation'!E19</f>
        <v>2</v>
      </c>
      <c r="G18" s="1">
        <f>'Data situation'!D19</f>
        <v>69</v>
      </c>
      <c r="H18" s="1">
        <f>'Data situation'!G19</f>
        <v>60</v>
      </c>
      <c r="I18" s="1">
        <f>'Data situation'!R19</f>
        <v>0.23899999999999999</v>
      </c>
      <c r="N18" s="75"/>
      <c r="Q18" s="7">
        <f>'Data situation'!O19</f>
        <v>6</v>
      </c>
      <c r="S18" s="6">
        <f>'Data situation'!P19</f>
        <v>0.81479999999999997</v>
      </c>
      <c r="T18" s="6">
        <f>'Data situation'!Q19</f>
        <v>0.80649999999999999</v>
      </c>
      <c r="V18" s="75"/>
      <c r="X18" s="21"/>
      <c r="Y18" s="75"/>
      <c r="Z18" s="21"/>
    </row>
    <row r="19" spans="1:26" ht="18.600000000000001" x14ac:dyDescent="0.3">
      <c r="A19" s="1" t="s">
        <v>74</v>
      </c>
      <c r="B19" s="2" t="s">
        <v>75</v>
      </c>
      <c r="C19" s="1" t="s">
        <v>43</v>
      </c>
      <c r="D19" s="1">
        <v>27</v>
      </c>
      <c r="E19" s="1">
        <v>0</v>
      </c>
      <c r="F19" s="1">
        <v>0</v>
      </c>
      <c r="G19" s="1">
        <v>20</v>
      </c>
      <c r="H19" s="1">
        <v>20</v>
      </c>
      <c r="I19" s="19">
        <f>'Data situation'!R20</f>
        <v>0.182</v>
      </c>
      <c r="J19" s="1">
        <v>39</v>
      </c>
      <c r="K19" s="1">
        <v>0.69230000000000003</v>
      </c>
      <c r="L19" s="1">
        <v>0.89659999999999995</v>
      </c>
      <c r="M19" s="19">
        <v>14</v>
      </c>
      <c r="N19" s="77">
        <f t="shared" ref="N19:N28" si="3">M19/($D19-2)</f>
        <v>0.56000000000000005</v>
      </c>
      <c r="O19" s="19">
        <v>3</v>
      </c>
      <c r="P19" s="1" t="s">
        <v>27</v>
      </c>
      <c r="Q19" s="18" t="s">
        <v>102</v>
      </c>
      <c r="R19" s="1">
        <v>39</v>
      </c>
      <c r="S19" s="1">
        <v>0.30769999999999997</v>
      </c>
      <c r="T19" s="1">
        <v>0.89659999999999995</v>
      </c>
      <c r="U19" s="21">
        <v>7</v>
      </c>
      <c r="V19" s="77">
        <f t="shared" ref="V19:V28" si="4">U19/($D19-2)</f>
        <v>0.28000000000000003</v>
      </c>
      <c r="W19" s="21">
        <v>3</v>
      </c>
      <c r="X19" s="21">
        <v>10</v>
      </c>
      <c r="Y19" s="77">
        <f t="shared" ref="Y19:Y28" si="5">X19/($D19-2)</f>
        <v>0.4</v>
      </c>
      <c r="Z19" s="21">
        <v>5</v>
      </c>
    </row>
    <row r="20" spans="1:26" x14ac:dyDescent="0.3">
      <c r="A20" s="1" t="s">
        <v>204</v>
      </c>
      <c r="B20" s="2" t="s">
        <v>205</v>
      </c>
      <c r="C20" s="1" t="s">
        <v>206</v>
      </c>
      <c r="D20" s="1">
        <v>13</v>
      </c>
      <c r="E20" s="1">
        <v>3</v>
      </c>
      <c r="F20" s="1">
        <v>1</v>
      </c>
      <c r="G20" s="1">
        <v>49</v>
      </c>
      <c r="H20" s="1">
        <v>42</v>
      </c>
      <c r="I20" s="19" t="str">
        <f>'Data situation'!R21</f>
        <v>?</v>
      </c>
      <c r="J20" s="1">
        <v>80</v>
      </c>
      <c r="K20" s="1">
        <v>0.74650000000000005</v>
      </c>
      <c r="L20" s="1">
        <v>0.84350000000000003</v>
      </c>
      <c r="M20" s="19">
        <v>9</v>
      </c>
      <c r="N20" s="77">
        <f t="shared" si="3"/>
        <v>0.81818181818181823</v>
      </c>
      <c r="O20" s="19">
        <v>4</v>
      </c>
      <c r="P20" s="1" t="s">
        <v>26</v>
      </c>
      <c r="Q20" s="20">
        <v>1</v>
      </c>
      <c r="R20" s="1">
        <v>79</v>
      </c>
      <c r="S20" s="1">
        <v>0.7571</v>
      </c>
      <c r="T20" s="1">
        <v>0.85219999999999996</v>
      </c>
      <c r="U20" s="21">
        <v>10</v>
      </c>
      <c r="V20" s="77">
        <f t="shared" si="4"/>
        <v>0.90909090909090906</v>
      </c>
      <c r="W20" s="21">
        <v>6</v>
      </c>
      <c r="X20" s="21"/>
      <c r="Y20" s="77"/>
      <c r="Z20" s="21"/>
    </row>
    <row r="21" spans="1:26" ht="18.600000000000001" x14ac:dyDescent="0.3">
      <c r="A21" s="1" t="s">
        <v>106</v>
      </c>
      <c r="B21" s="2" t="s">
        <v>107</v>
      </c>
      <c r="C21" s="1" t="s">
        <v>43</v>
      </c>
      <c r="D21" s="1">
        <v>32</v>
      </c>
      <c r="E21" s="18" t="s">
        <v>108</v>
      </c>
      <c r="F21" s="1">
        <v>0</v>
      </c>
      <c r="G21" s="1">
        <v>31</v>
      </c>
      <c r="H21" s="1">
        <v>30</v>
      </c>
      <c r="I21" s="19">
        <f>'Data situation'!R22</f>
        <v>0.27700000000000002</v>
      </c>
      <c r="J21" s="1">
        <v>95</v>
      </c>
      <c r="K21" s="1">
        <v>0.52690000000000003</v>
      </c>
      <c r="L21" s="1">
        <v>0.79049999999999998</v>
      </c>
      <c r="M21" s="1">
        <v>13</v>
      </c>
      <c r="N21" s="75">
        <f t="shared" si="3"/>
        <v>0.43333333333333335</v>
      </c>
      <c r="O21" s="1">
        <v>8</v>
      </c>
      <c r="P21" s="19" t="s">
        <v>26</v>
      </c>
      <c r="Q21" s="7">
        <v>2</v>
      </c>
      <c r="R21" s="1">
        <v>92</v>
      </c>
      <c r="S21" s="1">
        <v>0.5444</v>
      </c>
      <c r="T21" s="1">
        <v>0.80479999999999996</v>
      </c>
      <c r="U21" s="8">
        <v>9</v>
      </c>
      <c r="V21" s="75">
        <f t="shared" si="4"/>
        <v>0.3</v>
      </c>
      <c r="W21" s="8">
        <v>7</v>
      </c>
      <c r="X21" s="21">
        <v>7</v>
      </c>
      <c r="Y21" s="75">
        <f t="shared" si="5"/>
        <v>0.23333333333333334</v>
      </c>
      <c r="Z21" s="21">
        <v>7</v>
      </c>
    </row>
    <row r="22" spans="1:26" s="19" customFormat="1" x14ac:dyDescent="0.3">
      <c r="A22" s="1" t="s">
        <v>111</v>
      </c>
      <c r="B22" s="1" t="s">
        <v>112</v>
      </c>
      <c r="C22" s="1" t="s">
        <v>44</v>
      </c>
      <c r="D22" s="19">
        <v>13</v>
      </c>
      <c r="E22" s="20">
        <v>5</v>
      </c>
      <c r="F22" s="19">
        <v>0</v>
      </c>
      <c r="G22" s="19">
        <v>36</v>
      </c>
      <c r="H22" s="19">
        <v>35</v>
      </c>
      <c r="I22" s="19">
        <f>'Data situation'!R23</f>
        <v>0.314</v>
      </c>
      <c r="J22" s="19">
        <v>86</v>
      </c>
      <c r="K22" s="19">
        <v>0.58140000000000003</v>
      </c>
      <c r="L22" s="19">
        <v>0.6452</v>
      </c>
      <c r="M22" s="19">
        <v>7</v>
      </c>
      <c r="N22" s="77">
        <f t="shared" si="3"/>
        <v>0.63636363636363635</v>
      </c>
      <c r="O22" s="19">
        <v>5</v>
      </c>
      <c r="P22" s="19" t="s">
        <v>26</v>
      </c>
      <c r="Q22" s="20">
        <v>1</v>
      </c>
      <c r="R22" s="19">
        <v>82</v>
      </c>
      <c r="S22" s="19">
        <v>0.61839999999999995</v>
      </c>
      <c r="T22" s="19">
        <v>0.68820000000000003</v>
      </c>
      <c r="U22" s="21">
        <v>10</v>
      </c>
      <c r="V22" s="77">
        <f t="shared" si="4"/>
        <v>0.90909090909090906</v>
      </c>
      <c r="W22" s="21">
        <v>2</v>
      </c>
      <c r="X22" s="19">
        <v>7</v>
      </c>
      <c r="Y22" s="77">
        <f t="shared" si="5"/>
        <v>0.63636363636363635</v>
      </c>
      <c r="Z22" s="19">
        <v>3</v>
      </c>
    </row>
    <row r="23" spans="1:26" s="19" customFormat="1" x14ac:dyDescent="0.3">
      <c r="A23" s="1" t="s">
        <v>124</v>
      </c>
      <c r="B23" s="2" t="s">
        <v>125</v>
      </c>
      <c r="C23" s="1" t="s">
        <v>43</v>
      </c>
      <c r="D23" s="19">
        <v>48</v>
      </c>
      <c r="E23" s="20">
        <v>1</v>
      </c>
      <c r="F23" s="19">
        <v>0</v>
      </c>
      <c r="G23" s="19">
        <v>210</v>
      </c>
      <c r="H23" s="19">
        <v>181</v>
      </c>
      <c r="I23" s="19">
        <f>'Data situation'!R24</f>
        <v>0.40899999999999997</v>
      </c>
      <c r="J23" s="19">
        <v>1385</v>
      </c>
      <c r="K23" s="19">
        <v>0.13239999999999999</v>
      </c>
      <c r="L23" s="19">
        <v>0.41830000000000001</v>
      </c>
      <c r="M23" s="19">
        <v>15</v>
      </c>
      <c r="N23" s="77">
        <f t="shared" si="3"/>
        <v>0.32608695652173914</v>
      </c>
      <c r="O23" s="19">
        <v>4</v>
      </c>
      <c r="P23" s="19" t="s">
        <v>27</v>
      </c>
      <c r="Q23" s="20">
        <v>12</v>
      </c>
      <c r="R23" s="19">
        <v>1341</v>
      </c>
      <c r="S23" s="19">
        <v>0.1368</v>
      </c>
      <c r="T23" s="19">
        <v>0.43990000000000001</v>
      </c>
      <c r="U23" s="21">
        <v>5</v>
      </c>
      <c r="V23" s="77">
        <f t="shared" si="4"/>
        <v>0.10869565217391304</v>
      </c>
      <c r="W23" s="21">
        <v>1</v>
      </c>
      <c r="X23" s="21">
        <v>24</v>
      </c>
      <c r="Y23" s="77">
        <f t="shared" si="5"/>
        <v>0.52173913043478259</v>
      </c>
      <c r="Z23" s="21">
        <v>10</v>
      </c>
    </row>
    <row r="24" spans="1:26" x14ac:dyDescent="0.3">
      <c r="A24" s="1" t="s">
        <v>201</v>
      </c>
      <c r="B24" s="2" t="s">
        <v>202</v>
      </c>
      <c r="C24" s="1" t="s">
        <v>43</v>
      </c>
      <c r="D24" s="1">
        <v>70</v>
      </c>
      <c r="E24" s="83">
        <v>7</v>
      </c>
      <c r="F24" s="1">
        <v>0</v>
      </c>
      <c r="G24" s="1">
        <v>86</v>
      </c>
      <c r="H24" s="1">
        <v>85</v>
      </c>
      <c r="I24" s="19">
        <f>'Data situation'!R25</f>
        <v>0.33</v>
      </c>
      <c r="J24" s="1">
        <v>517</v>
      </c>
      <c r="K24" s="1">
        <v>0.27329999999999999</v>
      </c>
      <c r="L24" s="1">
        <v>0.71850000000000003</v>
      </c>
      <c r="M24" s="1">
        <v>31</v>
      </c>
      <c r="N24" s="75">
        <f>M24/($D24-2)</f>
        <v>0.45588235294117646</v>
      </c>
      <c r="O24" s="1">
        <v>19</v>
      </c>
      <c r="P24" s="1" t="s">
        <v>27</v>
      </c>
      <c r="Q24" s="1">
        <f>'Data situation'!O25</f>
        <v>12763</v>
      </c>
      <c r="R24" s="1">
        <v>486</v>
      </c>
      <c r="S24" s="1">
        <v>0.29070000000000001</v>
      </c>
      <c r="T24" s="1">
        <v>0.74170000000000003</v>
      </c>
      <c r="U24" s="8">
        <v>22</v>
      </c>
      <c r="V24" s="75">
        <f t="shared" si="4"/>
        <v>0.3235294117647059</v>
      </c>
      <c r="W24" s="8">
        <v>10</v>
      </c>
      <c r="X24" s="21">
        <v>49</v>
      </c>
      <c r="Y24" s="75">
        <f>X24/($D24-2)</f>
        <v>0.72058823529411764</v>
      </c>
      <c r="Z24" s="21">
        <v>26</v>
      </c>
    </row>
    <row r="25" spans="1:26" x14ac:dyDescent="0.3">
      <c r="A25" s="1" t="s">
        <v>56</v>
      </c>
      <c r="B25" s="1" t="s">
        <v>62</v>
      </c>
      <c r="C25" s="1" t="s">
        <v>43</v>
      </c>
      <c r="D25" s="1">
        <v>17</v>
      </c>
      <c r="E25" s="7">
        <v>0</v>
      </c>
      <c r="F25" s="1">
        <v>0</v>
      </c>
      <c r="G25" s="1">
        <v>19</v>
      </c>
      <c r="H25" s="1">
        <v>16</v>
      </c>
      <c r="I25" s="19">
        <f>'Data situation'!R26</f>
        <v>0.35699999999999998</v>
      </c>
      <c r="J25" s="1">
        <v>51</v>
      </c>
      <c r="K25" s="1">
        <v>0.4556</v>
      </c>
      <c r="L25" s="1">
        <v>0.63239999999999996</v>
      </c>
      <c r="M25" s="1">
        <v>3</v>
      </c>
      <c r="N25" s="75">
        <f t="shared" si="3"/>
        <v>0.2</v>
      </c>
      <c r="O25" s="1">
        <v>2</v>
      </c>
      <c r="P25" s="1" t="s">
        <v>26</v>
      </c>
      <c r="Q25" s="1">
        <v>6</v>
      </c>
      <c r="R25" s="1">
        <v>48</v>
      </c>
      <c r="S25" s="1">
        <v>0.4884</v>
      </c>
      <c r="T25" s="1">
        <v>0.67649999999999999</v>
      </c>
      <c r="U25" s="8">
        <v>0</v>
      </c>
      <c r="V25" s="75">
        <f t="shared" si="4"/>
        <v>0</v>
      </c>
      <c r="W25" s="8">
        <v>0</v>
      </c>
      <c r="X25" s="21">
        <v>5</v>
      </c>
      <c r="Y25" s="75">
        <f t="shared" si="5"/>
        <v>0.33333333333333331</v>
      </c>
      <c r="Z25" s="21">
        <v>1</v>
      </c>
    </row>
    <row r="26" spans="1:26" x14ac:dyDescent="0.3">
      <c r="A26" s="1" t="s">
        <v>64</v>
      </c>
      <c r="B26" s="1" t="s">
        <v>63</v>
      </c>
      <c r="C26" s="1" t="s">
        <v>45</v>
      </c>
      <c r="D26" s="1">
        <v>33</v>
      </c>
      <c r="E26" s="1">
        <v>1</v>
      </c>
      <c r="F26" s="1">
        <v>5</v>
      </c>
      <c r="G26" s="1">
        <v>64</v>
      </c>
      <c r="H26" s="1">
        <v>56</v>
      </c>
      <c r="I26" s="19">
        <f>'Data situation'!R27</f>
        <v>0.222</v>
      </c>
      <c r="J26" s="1">
        <v>167</v>
      </c>
      <c r="K26" s="1">
        <v>0.59</v>
      </c>
      <c r="L26" s="1">
        <v>0.87</v>
      </c>
      <c r="M26" s="1">
        <v>23</v>
      </c>
      <c r="N26" s="75">
        <f t="shared" si="3"/>
        <v>0.74193548387096775</v>
      </c>
      <c r="P26" s="1" t="s">
        <v>26</v>
      </c>
      <c r="Q26" s="1">
        <v>1436</v>
      </c>
      <c r="R26" s="1">
        <v>166</v>
      </c>
      <c r="S26" s="1">
        <v>0.61</v>
      </c>
      <c r="T26" s="1">
        <v>0.88</v>
      </c>
      <c r="U26" s="8">
        <v>14</v>
      </c>
      <c r="V26" s="75">
        <f t="shared" si="4"/>
        <v>0.45161290322580644</v>
      </c>
      <c r="X26" s="21"/>
      <c r="Y26" s="75">
        <f t="shared" si="5"/>
        <v>0</v>
      </c>
      <c r="Z26" s="21"/>
    </row>
    <row r="27" spans="1:26" x14ac:dyDescent="0.3">
      <c r="A27" s="1" t="s">
        <v>72</v>
      </c>
      <c r="B27" s="2" t="s">
        <v>73</v>
      </c>
      <c r="C27" s="1" t="s">
        <v>43</v>
      </c>
      <c r="D27" s="1">
        <v>28</v>
      </c>
      <c r="E27" s="1">
        <v>2</v>
      </c>
      <c r="F27" s="1">
        <v>0</v>
      </c>
      <c r="G27" s="1">
        <v>33</v>
      </c>
      <c r="H27" s="1">
        <v>33</v>
      </c>
      <c r="I27" s="19">
        <f>'Data situation'!R28</f>
        <v>0.40799999999999997</v>
      </c>
      <c r="J27" s="21">
        <v>190</v>
      </c>
      <c r="K27" s="19">
        <v>0.3579</v>
      </c>
      <c r="L27" s="19">
        <v>0.51780000000000004</v>
      </c>
      <c r="M27" s="19">
        <v>8</v>
      </c>
      <c r="N27" s="75">
        <f t="shared" si="3"/>
        <v>0.30769230769230771</v>
      </c>
      <c r="O27" s="19">
        <v>2</v>
      </c>
      <c r="P27" s="1" t="s">
        <v>27</v>
      </c>
      <c r="Q27" s="1">
        <v>6</v>
      </c>
      <c r="R27" s="1">
        <v>185</v>
      </c>
      <c r="S27" s="1">
        <v>0.36759999999999998</v>
      </c>
      <c r="T27" s="1">
        <v>0.53749999999999998</v>
      </c>
      <c r="U27" s="8">
        <v>3</v>
      </c>
      <c r="V27" s="75">
        <f t="shared" si="4"/>
        <v>0.11538461538461539</v>
      </c>
      <c r="W27" s="8">
        <v>1</v>
      </c>
      <c r="X27" s="21">
        <v>7</v>
      </c>
      <c r="Y27" s="75">
        <f t="shared" si="5"/>
        <v>0.26923076923076922</v>
      </c>
      <c r="Z27" s="21">
        <v>4</v>
      </c>
    </row>
    <row r="28" spans="1:26" ht="18.600000000000001" x14ac:dyDescent="0.3">
      <c r="A28" s="1" t="s">
        <v>70</v>
      </c>
      <c r="B28" s="1" t="s">
        <v>59</v>
      </c>
      <c r="C28" s="1" t="s">
        <v>44</v>
      </c>
      <c r="D28" s="1">
        <v>12</v>
      </c>
      <c r="E28" s="18" t="s">
        <v>39</v>
      </c>
      <c r="F28" s="1">
        <v>0</v>
      </c>
      <c r="G28" s="1">
        <v>30</v>
      </c>
      <c r="H28" s="1">
        <v>24</v>
      </c>
      <c r="I28" s="19">
        <f>'Data situation'!R29</f>
        <v>0.214</v>
      </c>
      <c r="J28" s="1">
        <v>42</v>
      </c>
      <c r="K28" s="1">
        <v>0.71430000000000005</v>
      </c>
      <c r="L28" s="1">
        <v>0.77780000000000005</v>
      </c>
      <c r="M28" s="5">
        <v>9</v>
      </c>
      <c r="N28" s="75">
        <f t="shared" si="3"/>
        <v>0.9</v>
      </c>
      <c r="O28" s="5">
        <v>4</v>
      </c>
      <c r="P28" s="1" t="s">
        <v>26</v>
      </c>
      <c r="Q28" s="1">
        <v>8</v>
      </c>
      <c r="R28" s="1">
        <v>42</v>
      </c>
      <c r="S28" s="1">
        <v>0.71430000000000005</v>
      </c>
      <c r="T28" s="1">
        <v>0.77780000000000005</v>
      </c>
      <c r="U28" s="8">
        <v>7</v>
      </c>
      <c r="V28" s="75">
        <f t="shared" si="4"/>
        <v>0.7</v>
      </c>
      <c r="W28" s="8">
        <v>3</v>
      </c>
      <c r="X28" s="21">
        <v>7</v>
      </c>
      <c r="Y28" s="75">
        <f t="shared" si="5"/>
        <v>0.7</v>
      </c>
      <c r="Z28" s="21">
        <v>4</v>
      </c>
    </row>
    <row r="30" spans="1:26" ht="18.600000000000001" x14ac:dyDescent="0.3">
      <c r="A30" s="4" t="s">
        <v>38</v>
      </c>
      <c r="B30" s="4"/>
      <c r="C30" s="4"/>
    </row>
    <row r="31" spans="1:26" ht="18.600000000000001" x14ac:dyDescent="0.3">
      <c r="A31" s="4" t="s">
        <v>40</v>
      </c>
      <c r="B31" s="4"/>
      <c r="C31" s="4"/>
    </row>
    <row r="32" spans="1:26" ht="18.600000000000001" x14ac:dyDescent="0.3">
      <c r="A32" s="4" t="s">
        <v>104</v>
      </c>
      <c r="B32" s="4"/>
      <c r="C32" s="4"/>
    </row>
    <row r="33" spans="1:1" ht="18.600000000000001" x14ac:dyDescent="0.3">
      <c r="A33" s="4" t="s">
        <v>103</v>
      </c>
    </row>
    <row r="34" spans="1:1" ht="18.600000000000001" x14ac:dyDescent="0.3">
      <c r="A34" s="4" t="s">
        <v>109</v>
      </c>
    </row>
  </sheetData>
  <autoFilter ref="A2:Z28" xr:uid="{00000000-0009-0000-0000-000001000000}"/>
  <mergeCells count="4">
    <mergeCell ref="X1:Z1"/>
    <mergeCell ref="D1:I1"/>
    <mergeCell ref="J1:O1"/>
    <mergeCell ref="P1:W1"/>
  </mergeCells>
  <phoneticPr fontId="2" type="noConversion"/>
  <conditionalFormatting sqref="I3:I28">
    <cfRule type="colorScale" priority="1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S3:S28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T3:T28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Y3:Y23 N25:N28 V25:V28 Y25:Y28 N3:N23 V3:V23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N24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V24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Y24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3"/>
  <sheetViews>
    <sheetView workbookViewId="0">
      <selection activeCell="B11" sqref="B11"/>
    </sheetView>
  </sheetViews>
  <sheetFormatPr baseColWidth="10" defaultColWidth="11.44140625" defaultRowHeight="15.6" x14ac:dyDescent="0.3"/>
  <cols>
    <col min="1" max="1" width="37.6640625" style="1" customWidth="1"/>
    <col min="2" max="2" width="57" style="1" bestFit="1" customWidth="1"/>
    <col min="3" max="3" width="39.6640625" style="1" bestFit="1" customWidth="1"/>
    <col min="4" max="4" width="12.6640625" style="3" customWidth="1"/>
    <col min="5" max="8" width="12.6640625" style="1" customWidth="1"/>
    <col min="9" max="16384" width="11.44140625" style="1"/>
  </cols>
  <sheetData>
    <row r="1" spans="1:8" x14ac:dyDescent="0.3">
      <c r="A1" s="12" t="s">
        <v>0</v>
      </c>
      <c r="B1" s="12" t="s">
        <v>2</v>
      </c>
      <c r="C1" s="12" t="s">
        <v>83</v>
      </c>
      <c r="D1" s="12" t="s">
        <v>18</v>
      </c>
      <c r="E1" s="12"/>
      <c r="F1" s="12"/>
      <c r="G1" s="12"/>
    </row>
    <row r="2" spans="1:8" ht="18" x14ac:dyDescent="0.4">
      <c r="A2" s="13"/>
      <c r="B2" s="13"/>
      <c r="C2" s="13"/>
      <c r="D2" s="14" t="s">
        <v>13</v>
      </c>
      <c r="E2" s="14" t="s">
        <v>17</v>
      </c>
      <c r="F2" s="14" t="s">
        <v>20</v>
      </c>
      <c r="G2" s="14" t="s">
        <v>19</v>
      </c>
      <c r="H2" s="13" t="s">
        <v>96</v>
      </c>
    </row>
    <row r="3" spans="1:8" x14ac:dyDescent="0.3">
      <c r="A3" s="1" t="s">
        <v>77</v>
      </c>
      <c r="B3" s="1" t="s">
        <v>23</v>
      </c>
      <c r="D3" s="3" t="s">
        <v>28</v>
      </c>
      <c r="E3" s="3" t="s">
        <v>28</v>
      </c>
      <c r="F3" s="3" t="s">
        <v>28</v>
      </c>
      <c r="G3" s="3" t="s">
        <v>28</v>
      </c>
      <c r="H3" s="3" t="s">
        <v>28</v>
      </c>
    </row>
    <row r="4" spans="1:8" s="12" customFormat="1" x14ac:dyDescent="0.3">
      <c r="A4" s="12" t="s">
        <v>67</v>
      </c>
      <c r="B4" s="12" t="s">
        <v>23</v>
      </c>
      <c r="D4" s="27" t="s">
        <v>28</v>
      </c>
      <c r="E4" s="27" t="s">
        <v>28</v>
      </c>
      <c r="F4" s="27" t="s">
        <v>28</v>
      </c>
      <c r="G4" s="27" t="s">
        <v>28</v>
      </c>
      <c r="H4" s="27" t="s">
        <v>28</v>
      </c>
    </row>
    <row r="5" spans="1:8" s="12" customFormat="1" x14ac:dyDescent="0.3">
      <c r="A5" s="12" t="s">
        <v>65</v>
      </c>
      <c r="B5" s="12" t="s">
        <v>11</v>
      </c>
      <c r="C5" s="12" t="s">
        <v>89</v>
      </c>
      <c r="D5" s="25">
        <v>5.0000000000000001E-3</v>
      </c>
      <c r="E5" s="26" t="s">
        <v>33</v>
      </c>
      <c r="F5" s="27" t="s">
        <v>35</v>
      </c>
      <c r="G5" s="26" t="s">
        <v>33</v>
      </c>
      <c r="H5" s="26" t="s">
        <v>33</v>
      </c>
    </row>
    <row r="6" spans="1:8" x14ac:dyDescent="0.3">
      <c r="A6" s="12"/>
      <c r="B6" s="12" t="s">
        <v>12</v>
      </c>
      <c r="C6" s="12" t="s">
        <v>90</v>
      </c>
      <c r="D6" s="28">
        <v>0.12</v>
      </c>
      <c r="E6" s="26">
        <v>8</v>
      </c>
      <c r="F6" s="27" t="s">
        <v>14</v>
      </c>
      <c r="G6" s="27">
        <v>52</v>
      </c>
      <c r="H6" s="26">
        <v>0.15</v>
      </c>
    </row>
    <row r="7" spans="1:8" x14ac:dyDescent="0.3">
      <c r="A7" s="12"/>
      <c r="B7" s="12" t="s">
        <v>34</v>
      </c>
      <c r="C7" s="12" t="s">
        <v>92</v>
      </c>
      <c r="D7" s="28">
        <v>0.24</v>
      </c>
      <c r="E7" s="26">
        <v>28</v>
      </c>
      <c r="F7" s="27" t="s">
        <v>14</v>
      </c>
      <c r="G7" s="27">
        <v>57</v>
      </c>
      <c r="H7" s="26">
        <v>0.34</v>
      </c>
    </row>
    <row r="8" spans="1:8" ht="18.600000000000001" x14ac:dyDescent="0.3">
      <c r="A8" s="12" t="s">
        <v>71</v>
      </c>
      <c r="B8" s="22" t="s">
        <v>93</v>
      </c>
      <c r="C8" s="34" t="s">
        <v>114</v>
      </c>
      <c r="D8" s="27" t="s">
        <v>23</v>
      </c>
      <c r="E8" s="26" t="s">
        <v>33</v>
      </c>
      <c r="F8" s="27" t="s">
        <v>14</v>
      </c>
      <c r="G8" s="26">
        <v>22</v>
      </c>
      <c r="H8" s="26" t="s">
        <v>33</v>
      </c>
    </row>
    <row r="9" spans="1:8" x14ac:dyDescent="0.3">
      <c r="A9" s="12" t="s">
        <v>80</v>
      </c>
      <c r="B9" s="22" t="s">
        <v>98</v>
      </c>
      <c r="C9" s="12" t="s">
        <v>84</v>
      </c>
      <c r="D9" s="27" t="s">
        <v>14</v>
      </c>
      <c r="E9" s="27">
        <v>65</v>
      </c>
      <c r="F9" s="27" t="s">
        <v>14</v>
      </c>
      <c r="G9" s="27">
        <v>99</v>
      </c>
      <c r="H9" s="27">
        <v>0.84</v>
      </c>
    </row>
    <row r="10" spans="1:8" x14ac:dyDescent="0.3">
      <c r="A10" s="12"/>
      <c r="B10" s="22" t="s">
        <v>3</v>
      </c>
      <c r="C10" s="12" t="s">
        <v>85</v>
      </c>
      <c r="D10" s="27" t="s">
        <v>14</v>
      </c>
      <c r="E10" s="27">
        <v>99</v>
      </c>
      <c r="F10" s="27" t="s">
        <v>14</v>
      </c>
      <c r="G10" s="27">
        <v>100</v>
      </c>
      <c r="H10" s="27">
        <v>0.99</v>
      </c>
    </row>
    <row r="11" spans="1:8" x14ac:dyDescent="0.3">
      <c r="A11" s="12" t="s">
        <v>68</v>
      </c>
      <c r="B11" s="22" t="s">
        <v>99</v>
      </c>
      <c r="C11" s="12" t="s">
        <v>97</v>
      </c>
      <c r="D11" s="28">
        <v>0.9</v>
      </c>
      <c r="E11" s="27">
        <v>63</v>
      </c>
      <c r="F11" s="27" t="s">
        <v>14</v>
      </c>
      <c r="G11" s="27">
        <v>90</v>
      </c>
      <c r="H11" s="27">
        <v>0.82</v>
      </c>
    </row>
    <row r="12" spans="1:8" x14ac:dyDescent="0.3">
      <c r="A12" s="12" t="s">
        <v>74</v>
      </c>
      <c r="B12" s="22" t="s">
        <v>52</v>
      </c>
      <c r="C12" s="12" t="s">
        <v>37</v>
      </c>
      <c r="D12" s="28"/>
      <c r="E12" s="26">
        <v>24</v>
      </c>
      <c r="F12" s="27"/>
      <c r="G12" s="26">
        <v>44</v>
      </c>
      <c r="H12" s="26">
        <v>0.17</v>
      </c>
    </row>
    <row r="13" spans="1:8" x14ac:dyDescent="0.3">
      <c r="A13" s="12"/>
      <c r="B13" s="22" t="s">
        <v>53</v>
      </c>
      <c r="C13" s="12" t="s">
        <v>37</v>
      </c>
      <c r="D13" s="28"/>
      <c r="E13" s="26">
        <v>15</v>
      </c>
      <c r="F13" s="27"/>
      <c r="G13" s="26">
        <v>34</v>
      </c>
      <c r="H13" s="26">
        <v>0.14000000000000001</v>
      </c>
    </row>
    <row r="14" spans="1:8" x14ac:dyDescent="0.3">
      <c r="A14" s="12"/>
      <c r="B14" s="22" t="s">
        <v>50</v>
      </c>
      <c r="C14" s="12" t="s">
        <v>37</v>
      </c>
      <c r="D14" s="28"/>
      <c r="E14" s="26">
        <v>29</v>
      </c>
      <c r="F14" s="27"/>
      <c r="G14" s="27">
        <v>74</v>
      </c>
      <c r="H14" s="27">
        <v>0.67</v>
      </c>
    </row>
    <row r="15" spans="1:8" x14ac:dyDescent="0.3">
      <c r="A15" s="12"/>
      <c r="B15" s="22" t="s">
        <v>51</v>
      </c>
      <c r="C15" s="12" t="s">
        <v>37</v>
      </c>
      <c r="D15" s="28"/>
      <c r="E15" s="26" t="s">
        <v>33</v>
      </c>
      <c r="F15" s="27"/>
      <c r="G15" s="27">
        <v>52</v>
      </c>
      <c r="H15" s="26">
        <v>7.0000000000000007E-2</v>
      </c>
    </row>
    <row r="16" spans="1:8" x14ac:dyDescent="0.3">
      <c r="A16" s="1" t="s">
        <v>106</v>
      </c>
      <c r="B16" s="22" t="s">
        <v>115</v>
      </c>
      <c r="C16" s="12" t="s">
        <v>123</v>
      </c>
      <c r="D16" s="28" t="s">
        <v>122</v>
      </c>
      <c r="E16" s="35">
        <v>49</v>
      </c>
      <c r="F16" s="27" t="s">
        <v>14</v>
      </c>
      <c r="G16" s="27">
        <v>87</v>
      </c>
      <c r="H16" s="26"/>
    </row>
    <row r="17" spans="1:8" ht="18.600000000000001" x14ac:dyDescent="0.3">
      <c r="B17" s="22" t="s">
        <v>116</v>
      </c>
      <c r="C17" s="70" t="s">
        <v>219</v>
      </c>
      <c r="D17" s="33" t="s">
        <v>120</v>
      </c>
      <c r="E17" s="26" t="s">
        <v>33</v>
      </c>
      <c r="F17" s="27" t="s">
        <v>14</v>
      </c>
      <c r="G17" s="26" t="s">
        <v>33</v>
      </c>
      <c r="H17" s="26"/>
    </row>
    <row r="18" spans="1:8" x14ac:dyDescent="0.3">
      <c r="B18" s="12" t="s">
        <v>117</v>
      </c>
      <c r="C18" s="12" t="s">
        <v>123</v>
      </c>
      <c r="D18" s="28" t="s">
        <v>122</v>
      </c>
      <c r="E18" s="26">
        <v>21</v>
      </c>
      <c r="F18" s="27" t="s">
        <v>14</v>
      </c>
      <c r="G18" s="27">
        <v>53</v>
      </c>
      <c r="H18" s="26"/>
    </row>
    <row r="19" spans="1:8" x14ac:dyDescent="0.3">
      <c r="B19" s="12" t="s">
        <v>118</v>
      </c>
      <c r="C19" s="12" t="s">
        <v>123</v>
      </c>
      <c r="D19" s="28" t="s">
        <v>122</v>
      </c>
      <c r="E19" s="27">
        <v>88</v>
      </c>
      <c r="F19" s="27" t="s">
        <v>14</v>
      </c>
      <c r="G19" s="27">
        <v>99.6</v>
      </c>
      <c r="H19" s="26"/>
    </row>
    <row r="20" spans="1:8" x14ac:dyDescent="0.3">
      <c r="B20" s="22" t="s">
        <v>119</v>
      </c>
      <c r="C20" s="70" t="s">
        <v>219</v>
      </c>
      <c r="D20" s="28" t="s">
        <v>122</v>
      </c>
      <c r="E20" s="27">
        <v>96</v>
      </c>
      <c r="F20" s="27" t="s">
        <v>14</v>
      </c>
      <c r="G20" s="27">
        <v>100</v>
      </c>
      <c r="H20" s="26"/>
    </row>
    <row r="21" spans="1:8" x14ac:dyDescent="0.3">
      <c r="A21" s="12" t="s">
        <v>56</v>
      </c>
      <c r="B21" s="22" t="s">
        <v>55</v>
      </c>
      <c r="C21" s="12" t="s">
        <v>37</v>
      </c>
      <c r="D21" s="28"/>
      <c r="E21" s="26">
        <v>10</v>
      </c>
      <c r="F21" s="27"/>
      <c r="G21" s="27">
        <v>89</v>
      </c>
      <c r="H21" s="29">
        <v>0.3</v>
      </c>
    </row>
    <row r="22" spans="1:8" x14ac:dyDescent="0.3">
      <c r="A22" s="12"/>
      <c r="B22" s="22" t="s">
        <v>54</v>
      </c>
      <c r="C22" s="12" t="s">
        <v>37</v>
      </c>
      <c r="D22" s="28"/>
      <c r="E22" s="26">
        <v>22</v>
      </c>
      <c r="F22" s="27"/>
      <c r="G22" s="26">
        <v>94</v>
      </c>
      <c r="H22" s="27">
        <v>0.34</v>
      </c>
    </row>
    <row r="23" spans="1:8" x14ac:dyDescent="0.3">
      <c r="A23" s="12" t="s">
        <v>64</v>
      </c>
      <c r="B23" s="22" t="s">
        <v>4</v>
      </c>
      <c r="C23" s="12" t="s">
        <v>87</v>
      </c>
      <c r="D23" s="28">
        <v>0.78</v>
      </c>
      <c r="E23" s="27">
        <v>72</v>
      </c>
      <c r="F23" s="27" t="s">
        <v>14</v>
      </c>
      <c r="G23" s="27">
        <v>99</v>
      </c>
      <c r="H23" s="30">
        <v>0.54400000000000004</v>
      </c>
    </row>
    <row r="24" spans="1:8" x14ac:dyDescent="0.3">
      <c r="A24" s="12"/>
      <c r="B24" s="22" t="s">
        <v>5</v>
      </c>
      <c r="C24" s="12" t="s">
        <v>88</v>
      </c>
      <c r="D24" s="31">
        <v>0.39</v>
      </c>
      <c r="E24" s="32">
        <v>26</v>
      </c>
      <c r="F24" s="27" t="s">
        <v>14</v>
      </c>
      <c r="G24" s="27">
        <v>90</v>
      </c>
      <c r="H24" s="27">
        <v>0.35</v>
      </c>
    </row>
    <row r="25" spans="1:8" ht="18.600000000000001" x14ac:dyDescent="0.3">
      <c r="A25" s="12"/>
      <c r="B25" s="22" t="s">
        <v>6</v>
      </c>
      <c r="C25" s="12" t="s">
        <v>91</v>
      </c>
      <c r="D25" s="28">
        <v>0.83</v>
      </c>
      <c r="E25" s="32">
        <v>44</v>
      </c>
      <c r="F25" s="27" t="s">
        <v>82</v>
      </c>
      <c r="G25" s="26">
        <v>44</v>
      </c>
      <c r="H25" s="27">
        <v>0.77</v>
      </c>
    </row>
    <row r="26" spans="1:8" x14ac:dyDescent="0.3">
      <c r="A26" s="12"/>
      <c r="B26" s="22" t="s">
        <v>7</v>
      </c>
      <c r="C26" s="12" t="s">
        <v>91</v>
      </c>
      <c r="D26" s="28">
        <v>1</v>
      </c>
      <c r="E26" s="27">
        <v>62</v>
      </c>
      <c r="F26" s="27" t="s">
        <v>14</v>
      </c>
      <c r="G26" s="27">
        <v>96</v>
      </c>
      <c r="H26" s="27">
        <v>0.91</v>
      </c>
    </row>
    <row r="27" spans="1:8" x14ac:dyDescent="0.3">
      <c r="A27" s="12"/>
      <c r="B27" s="22" t="s">
        <v>8</v>
      </c>
      <c r="C27" s="12" t="s">
        <v>91</v>
      </c>
      <c r="D27" s="28">
        <v>0.81</v>
      </c>
      <c r="E27" s="32">
        <v>46</v>
      </c>
      <c r="F27" s="27" t="s">
        <v>14</v>
      </c>
      <c r="G27" s="27">
        <v>81</v>
      </c>
      <c r="H27" s="27">
        <v>0.71</v>
      </c>
    </row>
    <row r="28" spans="1:8" x14ac:dyDescent="0.3">
      <c r="A28" s="12"/>
      <c r="B28" s="22" t="s">
        <v>9</v>
      </c>
      <c r="C28" s="12" t="s">
        <v>91</v>
      </c>
      <c r="D28" s="27" t="s">
        <v>32</v>
      </c>
      <c r="E28" s="26" t="s">
        <v>33</v>
      </c>
      <c r="F28" s="27" t="s">
        <v>14</v>
      </c>
      <c r="G28" s="32">
        <v>23</v>
      </c>
      <c r="H28" s="27">
        <v>0.18</v>
      </c>
    </row>
    <row r="29" spans="1:8" x14ac:dyDescent="0.3">
      <c r="A29" s="12"/>
      <c r="B29" s="22" t="s">
        <v>10</v>
      </c>
      <c r="C29" s="12" t="s">
        <v>91</v>
      </c>
      <c r="D29" s="28">
        <v>0.54</v>
      </c>
      <c r="E29" s="32">
        <v>6</v>
      </c>
      <c r="F29" s="27" t="s">
        <v>14</v>
      </c>
      <c r="G29" s="27">
        <v>62</v>
      </c>
      <c r="H29" s="26">
        <v>0.33</v>
      </c>
    </row>
    <row r="30" spans="1:8" x14ac:dyDescent="0.3">
      <c r="A30" s="13" t="s">
        <v>70</v>
      </c>
      <c r="B30" s="16" t="s">
        <v>49</v>
      </c>
      <c r="C30" s="13" t="s">
        <v>86</v>
      </c>
      <c r="D30" s="15" t="s">
        <v>36</v>
      </c>
      <c r="E30" s="15">
        <v>64</v>
      </c>
      <c r="F30" s="15" t="s">
        <v>14</v>
      </c>
      <c r="G30" s="15">
        <v>76</v>
      </c>
      <c r="H30" s="15">
        <v>0.78</v>
      </c>
    </row>
    <row r="31" spans="1:8" ht="18.600000000000001" x14ac:dyDescent="0.3">
      <c r="A31" s="4" t="s">
        <v>94</v>
      </c>
    </row>
    <row r="32" spans="1:8" ht="18.600000000000001" x14ac:dyDescent="0.3">
      <c r="A32" s="4" t="s">
        <v>81</v>
      </c>
    </row>
    <row r="33" spans="1:1" ht="18.600000000000001" x14ac:dyDescent="0.3">
      <c r="A33" s="4" t="s">
        <v>121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Data situation</vt:lpstr>
      <vt:lpstr>TreeRecon</vt:lpstr>
      <vt:lpstr>Null distances</vt:lpstr>
    </vt:vector>
  </TitlesOfParts>
  <Company>Grimm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BlaBla</cp:lastModifiedBy>
  <dcterms:created xsi:type="dcterms:W3CDTF">2008-01-24T09:49:59Z</dcterms:created>
  <dcterms:modified xsi:type="dcterms:W3CDTF">2018-09-10T08:16:09Z</dcterms:modified>
</cp:coreProperties>
</file>