
<file path=[Content_Types].xml><?xml version="1.0" encoding="utf-8"?>
<Types xmlns="http://schemas.openxmlformats.org/package/2006/content-type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623"/>
  <workbookPr/>
  <mc:AlternateContent xmlns:mc="http://schemas.openxmlformats.org/markup-compatibility/2006">
    <mc:Choice Requires="x15">
      <x15ac:absPath xmlns:x15ac="http://schemas.microsoft.com/office/spreadsheetml/2010/11/ac" url="C:\Users\rbugale\Documents\Deliberate\paper3\manuscript_paper3_Journal of environmental management\"/>
    </mc:Choice>
  </mc:AlternateContent>
  <xr:revisionPtr revIDLastSave="0" documentId="13_ncr:1_{E6DDA92D-8594-475D-9753-CF30939DBAA6}" xr6:coauthVersionLast="47" xr6:coauthVersionMax="47" xr10:uidLastSave="{00000000-0000-0000-0000-000000000000}"/>
  <bookViews>
    <workbookView xWindow="-108" yWindow="-108" windowWidth="30936" windowHeight="16776" xr2:uid="{00000000-000D-0000-FFFF-FFFF00000000}"/>
  </bookViews>
  <sheets>
    <sheet name="Tabelle1" sheetId="1" r:id="rId1"/>
  </sheets>
  <definedNames>
    <definedName name="Sexe">#REF!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D134" i="1" l="1"/>
  <c r="CB134" i="1"/>
  <c r="CD133" i="1"/>
  <c r="CB133" i="1"/>
  <c r="AM132" i="1"/>
  <c r="N132" i="1"/>
  <c r="AM131" i="1"/>
  <c r="N131" i="1"/>
  <c r="CH131" i="1" s="1"/>
  <c r="N130" i="1"/>
  <c r="AY130" i="1" s="1"/>
  <c r="BA130" i="1" s="1"/>
  <c r="CC130" i="1" s="1"/>
  <c r="M130" i="1"/>
  <c r="AM129" i="1"/>
  <c r="N129" i="1"/>
  <c r="BD129" i="1" s="1"/>
  <c r="BE129" i="1" s="1"/>
  <c r="N128" i="1"/>
  <c r="CH128" i="1" s="1"/>
  <c r="M128" i="1"/>
  <c r="N127" i="1"/>
  <c r="CH127" i="1" s="1"/>
  <c r="M127" i="1"/>
  <c r="N126" i="1"/>
  <c r="CH126" i="1" s="1"/>
  <c r="N125" i="1"/>
  <c r="M125" i="1"/>
  <c r="N124" i="1"/>
  <c r="CH124" i="1" s="1"/>
  <c r="M124" i="1"/>
  <c r="N123" i="1"/>
  <c r="CH123" i="1" s="1"/>
  <c r="M122" i="1"/>
  <c r="AX122" i="1" s="1"/>
  <c r="M121" i="1"/>
  <c r="M120" i="1"/>
  <c r="M119" i="1"/>
  <c r="AY119" i="1" s="1"/>
  <c r="BA119" i="1" s="1"/>
  <c r="CE119" i="1" s="1"/>
  <c r="M118" i="1"/>
  <c r="N118" i="1" s="1"/>
  <c r="CH118" i="1" s="1"/>
  <c r="M117" i="1"/>
  <c r="M116" i="1"/>
  <c r="BB116" i="1" s="1"/>
  <c r="BC116" i="1" s="1"/>
  <c r="M115" i="1"/>
  <c r="M114" i="1"/>
  <c r="N114" i="1" s="1"/>
  <c r="CH114" i="1" s="1"/>
  <c r="M113" i="1"/>
  <c r="N113" i="1" s="1"/>
  <c r="M112" i="1"/>
  <c r="N112" i="1" s="1"/>
  <c r="AE112" i="1" s="1"/>
  <c r="M111" i="1"/>
  <c r="N111" i="1" s="1"/>
  <c r="CH111" i="1" s="1"/>
  <c r="M110" i="1"/>
  <c r="N110" i="1" s="1"/>
  <c r="AE110" i="1" s="1"/>
  <c r="M109" i="1"/>
  <c r="N109" i="1" s="1"/>
  <c r="M108" i="1"/>
  <c r="M107" i="1"/>
  <c r="N107" i="1" s="1"/>
  <c r="CH107" i="1" s="1"/>
  <c r="M106" i="1"/>
  <c r="M105" i="1"/>
  <c r="AY105" i="1" s="1"/>
  <c r="BA105" i="1" s="1"/>
  <c r="CE105" i="1" s="1"/>
  <c r="M104" i="1"/>
  <c r="N104" i="1" s="1"/>
  <c r="M103" i="1"/>
  <c r="M102" i="1"/>
  <c r="M101" i="1"/>
  <c r="N101" i="1" s="1"/>
  <c r="AE101" i="1" s="1"/>
  <c r="M100" i="1"/>
  <c r="M99" i="1"/>
  <c r="AY99" i="1" s="1"/>
  <c r="BA99" i="1" s="1"/>
  <c r="M98" i="1"/>
  <c r="BD98" i="1" s="1"/>
  <c r="BE98" i="1" s="1"/>
  <c r="M97" i="1"/>
  <c r="N97" i="1" s="1"/>
  <c r="CH97" i="1" s="1"/>
  <c r="M96" i="1"/>
  <c r="M95" i="1"/>
  <c r="AY95" i="1" s="1"/>
  <c r="M94" i="1"/>
  <c r="AX94" i="1" s="1"/>
  <c r="AZ94" i="1" s="1"/>
  <c r="CB94" i="1" s="1"/>
  <c r="M93" i="1"/>
  <c r="M92" i="1"/>
  <c r="AX92" i="1" s="1"/>
  <c r="M91" i="1"/>
  <c r="M90" i="1"/>
  <c r="BB90" i="1" s="1"/>
  <c r="BC90" i="1" s="1"/>
  <c r="M89" i="1"/>
  <c r="N89" i="1" s="1"/>
  <c r="AE89" i="1" s="1"/>
  <c r="M88" i="1"/>
  <c r="N88" i="1" s="1"/>
  <c r="M87" i="1"/>
  <c r="N87" i="1" s="1"/>
  <c r="M86" i="1"/>
  <c r="M85" i="1"/>
  <c r="AY85" i="1" s="1"/>
  <c r="BA85" i="1" s="1"/>
  <c r="CE85" i="1" s="1"/>
  <c r="M84" i="1"/>
  <c r="AY84" i="1" s="1"/>
  <c r="BA84" i="1" s="1"/>
  <c r="CC84" i="1" s="1"/>
  <c r="M83" i="1"/>
  <c r="AM82" i="1"/>
  <c r="M82" i="1"/>
  <c r="AY82" i="1" s="1"/>
  <c r="BA82" i="1" s="1"/>
  <c r="M81" i="1"/>
  <c r="BB81" i="1" s="1"/>
  <c r="BC81" i="1" s="1"/>
  <c r="M80" i="1"/>
  <c r="BB80" i="1" s="1"/>
  <c r="BC80" i="1" s="1"/>
  <c r="M79" i="1"/>
  <c r="N79" i="1" s="1"/>
  <c r="M78" i="1"/>
  <c r="BB78" i="1" s="1"/>
  <c r="BC78" i="1" s="1"/>
  <c r="M77" i="1"/>
  <c r="BB77" i="1" s="1"/>
  <c r="BC77" i="1" s="1"/>
  <c r="M76" i="1"/>
  <c r="AX76" i="1" s="1"/>
  <c r="AZ76" i="1" s="1"/>
  <c r="CB76" i="1" s="1"/>
  <c r="M75" i="1"/>
  <c r="N75" i="1" s="1"/>
  <c r="AE75" i="1" s="1"/>
  <c r="M74" i="1"/>
  <c r="AX74" i="1" s="1"/>
  <c r="M73" i="1"/>
  <c r="BB73" i="1" s="1"/>
  <c r="BC73" i="1" s="1"/>
  <c r="M72" i="1"/>
  <c r="N72" i="1" s="1"/>
  <c r="CH72" i="1" s="1"/>
  <c r="M71" i="1"/>
  <c r="N71" i="1" s="1"/>
  <c r="CH71" i="1" s="1"/>
  <c r="M70" i="1"/>
  <c r="AY70" i="1" s="1"/>
  <c r="BA70" i="1" s="1"/>
  <c r="CC70" i="1" s="1"/>
  <c r="M69" i="1"/>
  <c r="N69" i="1" s="1"/>
  <c r="AE69" i="1" s="1"/>
  <c r="M68" i="1"/>
  <c r="BB68" i="1" s="1"/>
  <c r="BC68" i="1" s="1"/>
  <c r="M67" i="1"/>
  <c r="M66" i="1"/>
  <c r="N66" i="1" s="1"/>
  <c r="M65" i="1"/>
  <c r="N65" i="1" s="1"/>
  <c r="M64" i="1"/>
  <c r="AX64" i="1" s="1"/>
  <c r="M63" i="1"/>
  <c r="AY63" i="1" s="1"/>
  <c r="BA63" i="1" s="1"/>
  <c r="CB63" i="1" s="1"/>
  <c r="M62" i="1"/>
  <c r="BB62" i="1" s="1"/>
  <c r="BC62" i="1" s="1"/>
  <c r="M61" i="1"/>
  <c r="M60" i="1"/>
  <c r="N60" i="1" s="1"/>
  <c r="M59" i="1"/>
  <c r="M58" i="1"/>
  <c r="AX58" i="1" s="1"/>
  <c r="CE58" i="1" s="1"/>
  <c r="M57" i="1"/>
  <c r="N57" i="1" s="1"/>
  <c r="M56" i="1"/>
  <c r="BD56" i="1" s="1"/>
  <c r="BE56" i="1" s="1"/>
  <c r="M55" i="1"/>
  <c r="BD55" i="1" s="1"/>
  <c r="BE55" i="1" s="1"/>
  <c r="M54" i="1"/>
  <c r="BD54" i="1" s="1"/>
  <c r="BE54" i="1" s="1"/>
  <c r="M53" i="1"/>
  <c r="N53" i="1" s="1"/>
  <c r="M52" i="1"/>
  <c r="N52" i="1" s="1"/>
  <c r="M51" i="1"/>
  <c r="N51" i="1" s="1"/>
  <c r="BB51" i="1" s="1"/>
  <c r="BC51" i="1" s="1"/>
  <c r="M50" i="1"/>
  <c r="N50" i="1" s="1"/>
  <c r="CH49" i="1"/>
  <c r="BG49" i="1"/>
  <c r="AY49" i="1"/>
  <c r="CG49" i="1" s="1"/>
  <c r="AE49" i="1"/>
  <c r="CH48" i="1"/>
  <c r="BQ48" i="1"/>
  <c r="BG48" i="1"/>
  <c r="BD48" i="1"/>
  <c r="BE48" i="1" s="1"/>
  <c r="AY48" i="1"/>
  <c r="CG48" i="1" s="1"/>
  <c r="AE48" i="1"/>
  <c r="CH47" i="1"/>
  <c r="BQ47" i="1"/>
  <c r="AY47" i="1"/>
  <c r="BA47" i="1" s="1"/>
  <c r="CC47" i="1" s="1"/>
  <c r="AX47" i="1"/>
  <c r="AZ47" i="1" s="1"/>
  <c r="CB47" i="1" s="1"/>
  <c r="AE47" i="1"/>
  <c r="CH46" i="1"/>
  <c r="BQ46" i="1"/>
  <c r="BG46" i="1"/>
  <c r="BD46" i="1"/>
  <c r="BE46" i="1" s="1"/>
  <c r="AY46" i="1"/>
  <c r="AX46" i="1"/>
  <c r="AE46" i="1"/>
  <c r="CH45" i="1"/>
  <c r="BQ45" i="1"/>
  <c r="BG45" i="1"/>
  <c r="BD45" i="1"/>
  <c r="BE45" i="1" s="1"/>
  <c r="AY45" i="1"/>
  <c r="BA45" i="1" s="1"/>
  <c r="CC45" i="1" s="1"/>
  <c r="AX45" i="1"/>
  <c r="AE45" i="1"/>
  <c r="BG44" i="1"/>
  <c r="N44" i="1"/>
  <c r="AE44" i="1" s="1"/>
  <c r="BG43" i="1"/>
  <c r="N43" i="1"/>
  <c r="AY43" i="1" s="1"/>
  <c r="BA43" i="1" s="1"/>
  <c r="M43" i="1"/>
  <c r="BQ42" i="1"/>
  <c r="BG42" i="1"/>
  <c r="BC42" i="1"/>
  <c r="N42" i="1"/>
  <c r="AY42" i="1" s="1"/>
  <c r="BQ41" i="1"/>
  <c r="BG41" i="1"/>
  <c r="N41" i="1"/>
  <c r="CH41" i="1" s="1"/>
  <c r="BQ40" i="1"/>
  <c r="BG40" i="1"/>
  <c r="BC40" i="1"/>
  <c r="N40" i="1"/>
  <c r="M40" i="1"/>
  <c r="BQ39" i="1"/>
  <c r="BG39" i="1"/>
  <c r="N39" i="1"/>
  <c r="AE39" i="1" s="1"/>
  <c r="M39" i="1"/>
  <c r="BQ38" i="1"/>
  <c r="BG38" i="1"/>
  <c r="N38" i="1"/>
  <c r="BB38" i="1" s="1"/>
  <c r="BC38" i="1" s="1"/>
  <c r="M38" i="1"/>
  <c r="BQ37" i="1"/>
  <c r="BG37" i="1"/>
  <c r="N37" i="1"/>
  <c r="AY37" i="1" s="1"/>
  <c r="BA37" i="1" s="1"/>
  <c r="CC37" i="1" s="1"/>
  <c r="M37" i="1"/>
  <c r="BG36" i="1"/>
  <c r="N36" i="1"/>
  <c r="AY36" i="1" s="1"/>
  <c r="BA36" i="1" s="1"/>
  <c r="CC36" i="1" s="1"/>
  <c r="M36" i="1"/>
  <c r="BQ35" i="1"/>
  <c r="BG35" i="1"/>
  <c r="N35" i="1"/>
  <c r="AY35" i="1" s="1"/>
  <c r="BA35" i="1" s="1"/>
  <c r="CC35" i="1" s="1"/>
  <c r="M35" i="1"/>
  <c r="BQ34" i="1"/>
  <c r="BG34" i="1"/>
  <c r="N34" i="1"/>
  <c r="AE34" i="1" s="1"/>
  <c r="M34" i="1"/>
  <c r="BQ33" i="1"/>
  <c r="BG33" i="1"/>
  <c r="N33" i="1"/>
  <c r="AE33" i="1" s="1"/>
  <c r="M33" i="1"/>
  <c r="BG32" i="1"/>
  <c r="N32" i="1"/>
  <c r="CH32" i="1" s="1"/>
  <c r="M32" i="1"/>
  <c r="BQ31" i="1"/>
  <c r="BG31" i="1"/>
  <c r="N31" i="1"/>
  <c r="AX31" i="1" s="1"/>
  <c r="M31" i="1"/>
  <c r="BQ30" i="1"/>
  <c r="BG30" i="1"/>
  <c r="N30" i="1"/>
  <c r="AX30" i="1" s="1"/>
  <c r="M30" i="1"/>
  <c r="BQ29" i="1"/>
  <c r="BG29" i="1"/>
  <c r="N29" i="1"/>
  <c r="M29" i="1"/>
  <c r="BQ28" i="1"/>
  <c r="BG28" i="1"/>
  <c r="N28" i="1"/>
  <c r="AE28" i="1" s="1"/>
  <c r="M28" i="1"/>
  <c r="BQ27" i="1"/>
  <c r="BG27" i="1"/>
  <c r="N27" i="1"/>
  <c r="AE27" i="1" s="1"/>
  <c r="M27" i="1"/>
  <c r="BQ26" i="1"/>
  <c r="BG26" i="1"/>
  <c r="N26" i="1"/>
  <c r="AE26" i="1" s="1"/>
  <c r="M26" i="1"/>
  <c r="BH25" i="1"/>
  <c r="BG25" i="1"/>
  <c r="N25" i="1"/>
  <c r="AE25" i="1" s="1"/>
  <c r="M25" i="1"/>
  <c r="BQ24" i="1"/>
  <c r="N24" i="1"/>
  <c r="AY24" i="1" s="1"/>
  <c r="BA24" i="1" s="1"/>
  <c r="CC24" i="1" s="1"/>
  <c r="M24" i="1"/>
  <c r="BQ23" i="1"/>
  <c r="BH23" i="1"/>
  <c r="BG23" i="1"/>
  <c r="N23" i="1"/>
  <c r="AX23" i="1" s="1"/>
  <c r="M23" i="1"/>
  <c r="BQ22" i="1"/>
  <c r="BH22" i="1"/>
  <c r="BG22" i="1"/>
  <c r="N22" i="1"/>
  <c r="AX22" i="1" s="1"/>
  <c r="M22" i="1"/>
  <c r="BQ21" i="1"/>
  <c r="BH21" i="1"/>
  <c r="BG21" i="1"/>
  <c r="N21" i="1"/>
  <c r="AE21" i="1" s="1"/>
  <c r="M21" i="1"/>
  <c r="BQ20" i="1"/>
  <c r="BH20" i="1"/>
  <c r="BG20" i="1"/>
  <c r="N20" i="1"/>
  <c r="BD20" i="1" s="1"/>
  <c r="BE20" i="1" s="1"/>
  <c r="M20" i="1"/>
  <c r="BG19" i="1"/>
  <c r="N19" i="1"/>
  <c r="AY19" i="1" s="1"/>
  <c r="BA19" i="1" s="1"/>
  <c r="CC19" i="1" s="1"/>
  <c r="M19" i="1"/>
  <c r="BQ18" i="1"/>
  <c r="BH18" i="1"/>
  <c r="BG18" i="1"/>
  <c r="N18" i="1"/>
  <c r="M18" i="1"/>
  <c r="BQ17" i="1"/>
  <c r="BH17" i="1"/>
  <c r="BG17" i="1"/>
  <c r="N17" i="1"/>
  <c r="AE17" i="1" s="1"/>
  <c r="M17" i="1"/>
  <c r="BQ16" i="1"/>
  <c r="BH16" i="1"/>
  <c r="BG16" i="1"/>
  <c r="N16" i="1"/>
  <c r="BB16" i="1" s="1"/>
  <c r="BC16" i="1" s="1"/>
  <c r="M16" i="1"/>
  <c r="BQ15" i="1"/>
  <c r="BH15" i="1"/>
  <c r="BG15" i="1"/>
  <c r="N15" i="1"/>
  <c r="AX15" i="1" s="1"/>
  <c r="M15" i="1"/>
  <c r="BQ14" i="1"/>
  <c r="BH14" i="1"/>
  <c r="BG14" i="1"/>
  <c r="N14" i="1"/>
  <c r="M14" i="1"/>
  <c r="BQ13" i="1"/>
  <c r="BH13" i="1"/>
  <c r="BG13" i="1"/>
  <c r="BE13" i="1"/>
  <c r="N13" i="1"/>
  <c r="AE13" i="1" s="1"/>
  <c r="M13" i="1"/>
  <c r="BH12" i="1"/>
  <c r="BG12" i="1"/>
  <c r="BE12" i="1"/>
  <c r="N12" i="1"/>
  <c r="CH12" i="1" s="1"/>
  <c r="M12" i="1"/>
  <c r="BQ11" i="1"/>
  <c r="BH11" i="1"/>
  <c r="BG11" i="1"/>
  <c r="N11" i="1"/>
  <c r="AE11" i="1" s="1"/>
  <c r="M11" i="1"/>
  <c r="BQ10" i="1"/>
  <c r="BG10" i="1"/>
  <c r="N10" i="1"/>
  <c r="BD10" i="1" s="1"/>
  <c r="BE10" i="1" s="1"/>
  <c r="M10" i="1"/>
  <c r="AY9" i="1"/>
  <c r="BA9" i="1" s="1"/>
  <c r="CC9" i="1" s="1"/>
  <c r="N9" i="1"/>
  <c r="BD9" i="1" s="1"/>
  <c r="BE9" i="1" s="1"/>
  <c r="M9" i="1"/>
  <c r="BQ8" i="1"/>
  <c r="BH8" i="1"/>
  <c r="N8" i="1"/>
  <c r="M8" i="1"/>
  <c r="BQ7" i="1"/>
  <c r="BH7" i="1"/>
  <c r="N7" i="1"/>
  <c r="AY7" i="1" s="1"/>
  <c r="BA7" i="1" s="1"/>
  <c r="CC7" i="1" s="1"/>
  <c r="M7" i="1"/>
  <c r="BQ6" i="1"/>
  <c r="BH6" i="1"/>
  <c r="N6" i="1"/>
  <c r="M6" i="1"/>
  <c r="BH5" i="1"/>
  <c r="BG5" i="1"/>
  <c r="N5" i="1"/>
  <c r="BD5" i="1" s="1"/>
  <c r="BE5" i="1" s="1"/>
  <c r="M5" i="1"/>
  <c r="BQ4" i="1"/>
  <c r="BG4" i="1"/>
  <c r="N4" i="1"/>
  <c r="BD4" i="1" s="1"/>
  <c r="BE4" i="1" s="1"/>
  <c r="M4" i="1"/>
  <c r="BH3" i="1"/>
  <c r="BG3" i="1"/>
  <c r="N3" i="1"/>
  <c r="AE3" i="1" s="1"/>
  <c r="M3" i="1"/>
  <c r="BG2" i="1"/>
  <c r="N2" i="1"/>
  <c r="M2" i="1"/>
  <c r="CH69" i="1" l="1"/>
  <c r="AE124" i="1"/>
  <c r="AX36" i="1"/>
  <c r="CG36" i="1" s="1"/>
  <c r="AE32" i="1"/>
  <c r="AY112" i="1"/>
  <c r="BA112" i="1" s="1"/>
  <c r="CC112" i="1" s="1"/>
  <c r="BD131" i="1"/>
  <c r="BE131" i="1" s="1"/>
  <c r="AX32" i="1"/>
  <c r="AZ32" i="1" s="1"/>
  <c r="CB32" i="1" s="1"/>
  <c r="N78" i="1"/>
  <c r="AE78" i="1" s="1"/>
  <c r="BB105" i="1"/>
  <c r="BC105" i="1" s="1"/>
  <c r="BF105" i="1" s="1"/>
  <c r="BB70" i="1"/>
  <c r="BC70" i="1" s="1"/>
  <c r="AY77" i="1"/>
  <c r="BA77" i="1" s="1"/>
  <c r="CC77" i="1" s="1"/>
  <c r="CH4" i="1"/>
  <c r="AY69" i="1"/>
  <c r="BA69" i="1" s="1"/>
  <c r="CC69" i="1" s="1"/>
  <c r="CB105" i="1"/>
  <c r="AX98" i="1"/>
  <c r="AZ98" i="1" s="1"/>
  <c r="CB98" i="1" s="1"/>
  <c r="BD24" i="1"/>
  <c r="BE24" i="1" s="1"/>
  <c r="BB87" i="1"/>
  <c r="BC87" i="1" s="1"/>
  <c r="AX21" i="1"/>
  <c r="AZ21" i="1" s="1"/>
  <c r="CB21" i="1" s="1"/>
  <c r="AE22" i="1"/>
  <c r="AX26" i="1"/>
  <c r="CG26" i="1" s="1"/>
  <c r="AY33" i="1"/>
  <c r="BA33" i="1" s="1"/>
  <c r="CC33" i="1" s="1"/>
  <c r="BB21" i="1"/>
  <c r="BC21" i="1" s="1"/>
  <c r="AY32" i="1"/>
  <c r="BA32" i="1" s="1"/>
  <c r="CC32" i="1" s="1"/>
  <c r="AY41" i="1"/>
  <c r="BA41" i="1" s="1"/>
  <c r="CC41" i="1" s="1"/>
  <c r="AY25" i="1"/>
  <c r="BA25" i="1" s="1"/>
  <c r="CC25" i="1" s="1"/>
  <c r="BD32" i="1"/>
  <c r="BE32" i="1" s="1"/>
  <c r="AX57" i="1"/>
  <c r="CG57" i="1" s="1"/>
  <c r="AX75" i="1"/>
  <c r="CG75" i="1" s="1"/>
  <c r="BD124" i="1"/>
  <c r="BE124" i="1" s="1"/>
  <c r="AE19" i="1"/>
  <c r="AY26" i="1"/>
  <c r="BA26" i="1" s="1"/>
  <c r="CC26" i="1" s="1"/>
  <c r="CC63" i="1"/>
  <c r="BB69" i="1"/>
  <c r="BC69" i="1" s="1"/>
  <c r="BB112" i="1"/>
  <c r="BC112" i="1" s="1"/>
  <c r="CH16" i="1"/>
  <c r="AX19" i="1"/>
  <c r="AZ19" i="1" s="1"/>
  <c r="CB19" i="1" s="1"/>
  <c r="CE46" i="1"/>
  <c r="AY110" i="1"/>
  <c r="BA110" i="1" s="1"/>
  <c r="CD110" i="1" s="1"/>
  <c r="AX16" i="1"/>
  <c r="CG16" i="1" s="1"/>
  <c r="BD26" i="1"/>
  <c r="BE26" i="1" s="1"/>
  <c r="AY57" i="1"/>
  <c r="BA57" i="1" s="1"/>
  <c r="CC57" i="1" s="1"/>
  <c r="N64" i="1"/>
  <c r="AE64" i="1" s="1"/>
  <c r="BD7" i="1"/>
  <c r="BE7" i="1" s="1"/>
  <c r="AY16" i="1"/>
  <c r="BA16" i="1" s="1"/>
  <c r="CC16" i="1" s="1"/>
  <c r="BB64" i="1"/>
  <c r="BC64" i="1" s="1"/>
  <c r="CH21" i="1"/>
  <c r="AX33" i="1"/>
  <c r="CG33" i="1" s="1"/>
  <c r="CE43" i="1"/>
  <c r="BD64" i="1"/>
  <c r="BE64" i="1" s="1"/>
  <c r="N105" i="1"/>
  <c r="CG105" i="1" s="1"/>
  <c r="AX111" i="1"/>
  <c r="CG111" i="1" s="1"/>
  <c r="AY124" i="1"/>
  <c r="BA124" i="1" s="1"/>
  <c r="CC124" i="1" s="1"/>
  <c r="AX118" i="1"/>
  <c r="AZ118" i="1" s="1"/>
  <c r="CB118" i="1" s="1"/>
  <c r="AX9" i="1"/>
  <c r="CE9" i="1" s="1"/>
  <c r="AY21" i="1"/>
  <c r="BA21" i="1" s="1"/>
  <c r="CC21" i="1" s="1"/>
  <c r="CH26" i="1"/>
  <c r="AE41" i="1"/>
  <c r="BB74" i="1"/>
  <c r="BC74" i="1" s="1"/>
  <c r="N77" i="1"/>
  <c r="CH77" i="1" s="1"/>
  <c r="BB85" i="1"/>
  <c r="BC85" i="1" s="1"/>
  <c r="CH9" i="1"/>
  <c r="AE31" i="1"/>
  <c r="AE37" i="1"/>
  <c r="N62" i="1"/>
  <c r="AE62" i="1" s="1"/>
  <c r="CE63" i="1"/>
  <c r="AY75" i="1"/>
  <c r="AX78" i="1"/>
  <c r="AZ78" i="1" s="1"/>
  <c r="CB78" i="1" s="1"/>
  <c r="BB94" i="1"/>
  <c r="BC94" i="1" s="1"/>
  <c r="N99" i="1"/>
  <c r="AE99" i="1" s="1"/>
  <c r="CD99" i="1" s="1"/>
  <c r="AY101" i="1"/>
  <c r="BA101" i="1" s="1"/>
  <c r="AX114" i="1"/>
  <c r="AZ114" i="1" s="1"/>
  <c r="CB114" i="1" s="1"/>
  <c r="AE128" i="1"/>
  <c r="AY31" i="1"/>
  <c r="BA31" i="1" s="1"/>
  <c r="CC31" i="1" s="1"/>
  <c r="AX37" i="1"/>
  <c r="AZ37" i="1" s="1"/>
  <c r="CB37" i="1" s="1"/>
  <c r="CH39" i="1"/>
  <c r="AY62" i="1"/>
  <c r="BA62" i="1" s="1"/>
  <c r="AY78" i="1"/>
  <c r="BA78" i="1" s="1"/>
  <c r="CC78" i="1" s="1"/>
  <c r="BB101" i="1"/>
  <c r="BC101" i="1" s="1"/>
  <c r="AX128" i="1"/>
  <c r="CE128" i="1" s="1"/>
  <c r="BD31" i="1"/>
  <c r="BE31" i="1" s="1"/>
  <c r="BB75" i="1"/>
  <c r="BC75" i="1" s="1"/>
  <c r="CC85" i="1"/>
  <c r="CH5" i="1"/>
  <c r="CG46" i="1"/>
  <c r="BD60" i="1"/>
  <c r="BE60" i="1" s="1"/>
  <c r="BD101" i="1"/>
  <c r="BE101" i="1" s="1"/>
  <c r="AE107" i="1"/>
  <c r="AE24" i="1"/>
  <c r="AX27" i="1"/>
  <c r="CG27" i="1" s="1"/>
  <c r="CH37" i="1"/>
  <c r="CD47" i="1"/>
  <c r="AX56" i="1"/>
  <c r="AZ56" i="1" s="1"/>
  <c r="CB56" i="1" s="1"/>
  <c r="AY76" i="1"/>
  <c r="BA76" i="1" s="1"/>
  <c r="CC76" i="1" s="1"/>
  <c r="N81" i="1"/>
  <c r="CH81" i="1" s="1"/>
  <c r="N116" i="1"/>
  <c r="AE116" i="1" s="1"/>
  <c r="AE123" i="1"/>
  <c r="CH7" i="1"/>
  <c r="AE7" i="1"/>
  <c r="AX28" i="1"/>
  <c r="CG28" i="1" s="1"/>
  <c r="BD16" i="1"/>
  <c r="BE16" i="1" s="1"/>
  <c r="AX24" i="1"/>
  <c r="CG24" i="1" s="1"/>
  <c r="BD27" i="1"/>
  <c r="BE27" i="1" s="1"/>
  <c r="AY28" i="1"/>
  <c r="BA28" i="1" s="1"/>
  <c r="CC28" i="1" s="1"/>
  <c r="CH31" i="1"/>
  <c r="BB56" i="1"/>
  <c r="BC56" i="1" s="1"/>
  <c r="AX68" i="1"/>
  <c r="AY87" i="1"/>
  <c r="BA87" i="1" s="1"/>
  <c r="CG31" i="1"/>
  <c r="AZ31" i="1"/>
  <c r="AZ64" i="1"/>
  <c r="AE65" i="1"/>
  <c r="CH65" i="1"/>
  <c r="AE87" i="1"/>
  <c r="CH87" i="1"/>
  <c r="CH113" i="1"/>
  <c r="AE113" i="1"/>
  <c r="CH3" i="1"/>
  <c r="AY3" i="1"/>
  <c r="BA3" i="1" s="1"/>
  <c r="CC3" i="1" s="1"/>
  <c r="AY44" i="1"/>
  <c r="CE44" i="1" s="1"/>
  <c r="AZ46" i="1"/>
  <c r="CC46" i="1" s="1"/>
  <c r="AY54" i="1"/>
  <c r="BA54" i="1" s="1"/>
  <c r="CC54" i="1" s="1"/>
  <c r="BB55" i="1"/>
  <c r="BC55" i="1" s="1"/>
  <c r="AY64" i="1"/>
  <c r="BA64" i="1" s="1"/>
  <c r="CC64" i="1" s="1"/>
  <c r="AX65" i="1"/>
  <c r="CG65" i="1" s="1"/>
  <c r="AX77" i="1"/>
  <c r="AZ77" i="1" s="1"/>
  <c r="CB77" i="1" s="1"/>
  <c r="AY81" i="1"/>
  <c r="BA81" i="1" s="1"/>
  <c r="CC81" i="1" s="1"/>
  <c r="AY94" i="1"/>
  <c r="BA94" i="1" s="1"/>
  <c r="CC94" i="1" s="1"/>
  <c r="BB98" i="1"/>
  <c r="BC98" i="1" s="1"/>
  <c r="BB99" i="1"/>
  <c r="BC99" i="1" s="1"/>
  <c r="BB104" i="1"/>
  <c r="BC104" i="1" s="1"/>
  <c r="BD105" i="1"/>
  <c r="BE105" i="1" s="1"/>
  <c r="AX129" i="1"/>
  <c r="CG129" i="1" s="1"/>
  <c r="AE130" i="1"/>
  <c r="CH24" i="1"/>
  <c r="BB54" i="1"/>
  <c r="BC54" i="1" s="1"/>
  <c r="AY65" i="1"/>
  <c r="BA65" i="1" s="1"/>
  <c r="CC65" i="1" s="1"/>
  <c r="AX69" i="1"/>
  <c r="CE69" i="1" s="1"/>
  <c r="BD104" i="1"/>
  <c r="BE104" i="1" s="1"/>
  <c r="BB129" i="1"/>
  <c r="BC129" i="1" s="1"/>
  <c r="AX130" i="1"/>
  <c r="CG130" i="1" s="1"/>
  <c r="BB84" i="1"/>
  <c r="BC84" i="1" s="1"/>
  <c r="CD124" i="1"/>
  <c r="AX25" i="1"/>
  <c r="CG25" i="1" s="1"/>
  <c r="CH25" i="1"/>
  <c r="CH27" i="1"/>
  <c r="CH33" i="1"/>
  <c r="AX35" i="1"/>
  <c r="CE35" i="1" s="1"/>
  <c r="AX41" i="1"/>
  <c r="CG41" i="1" s="1"/>
  <c r="CG44" i="1"/>
  <c r="AY56" i="1"/>
  <c r="BA56" i="1" s="1"/>
  <c r="CC56" i="1" s="1"/>
  <c r="AY68" i="1"/>
  <c r="AX72" i="1"/>
  <c r="CG72" i="1" s="1"/>
  <c r="BD77" i="1"/>
  <c r="BE77" i="1" s="1"/>
  <c r="N80" i="1"/>
  <c r="CH80" i="1" s="1"/>
  <c r="N84" i="1"/>
  <c r="AY107" i="1"/>
  <c r="BA107" i="1" s="1"/>
  <c r="CC107" i="1" s="1"/>
  <c r="AY111" i="1"/>
  <c r="BA111" i="1" s="1"/>
  <c r="CC111" i="1" s="1"/>
  <c r="AY114" i="1"/>
  <c r="BA114" i="1" s="1"/>
  <c r="CC114" i="1" s="1"/>
  <c r="AY118" i="1"/>
  <c r="BA118" i="1" s="1"/>
  <c r="CC118" i="1" s="1"/>
  <c r="N119" i="1"/>
  <c r="CH119" i="1" s="1"/>
  <c r="AX123" i="1"/>
  <c r="AZ123" i="1" s="1"/>
  <c r="AY72" i="1"/>
  <c r="BA72" i="1" s="1"/>
  <c r="CC72" i="1" s="1"/>
  <c r="AX80" i="1"/>
  <c r="AZ80" i="1" s="1"/>
  <c r="CB80" i="1" s="1"/>
  <c r="BB119" i="1"/>
  <c r="BC119" i="1" s="1"/>
  <c r="CH129" i="1"/>
  <c r="AX3" i="1"/>
  <c r="AZ3" i="1" s="1"/>
  <c r="CB3" i="1" s="1"/>
  <c r="BD25" i="1"/>
  <c r="BE25" i="1" s="1"/>
  <c r="AY27" i="1"/>
  <c r="BA27" i="1" s="1"/>
  <c r="CC27" i="1" s="1"/>
  <c r="AY30" i="1"/>
  <c r="BA30" i="1" s="1"/>
  <c r="CC30" i="1" s="1"/>
  <c r="AX39" i="1"/>
  <c r="CG39" i="1" s="1"/>
  <c r="BB41" i="1"/>
  <c r="BC41" i="1" s="1"/>
  <c r="CG43" i="1"/>
  <c r="AX55" i="1"/>
  <c r="AZ55" i="1" s="1"/>
  <c r="CB55" i="1" s="1"/>
  <c r="N58" i="1"/>
  <c r="BB58" i="1" s="1"/>
  <c r="BC58" i="1" s="1"/>
  <c r="BB72" i="1"/>
  <c r="BC72" i="1" s="1"/>
  <c r="AY80" i="1"/>
  <c r="BA80" i="1" s="1"/>
  <c r="CC80" i="1" s="1"/>
  <c r="AX84" i="1"/>
  <c r="AY98" i="1"/>
  <c r="CC105" i="1"/>
  <c r="N122" i="1"/>
  <c r="BB122" i="1" s="1"/>
  <c r="BC122" i="1" s="1"/>
  <c r="AE129" i="1"/>
  <c r="AY39" i="1"/>
  <c r="BA39" i="1" s="1"/>
  <c r="CC39" i="1" s="1"/>
  <c r="AX54" i="1"/>
  <c r="AZ54" i="1" s="1"/>
  <c r="CB54" i="1" s="1"/>
  <c r="AY55" i="1"/>
  <c r="BA55" i="1" s="1"/>
  <c r="CC55" i="1" s="1"/>
  <c r="BB63" i="1"/>
  <c r="BC63" i="1" s="1"/>
  <c r="BB79" i="1"/>
  <c r="BC79" i="1" s="1"/>
  <c r="AX81" i="1"/>
  <c r="N94" i="1"/>
  <c r="CH94" i="1" s="1"/>
  <c r="AY104" i="1"/>
  <c r="CG104" i="1" s="1"/>
  <c r="BB118" i="1"/>
  <c r="BC118" i="1" s="1"/>
  <c r="CH130" i="1"/>
  <c r="CB43" i="1"/>
  <c r="CC43" i="1"/>
  <c r="BB53" i="1"/>
  <c r="BC53" i="1" s="1"/>
  <c r="CH53" i="1"/>
  <c r="AX53" i="1"/>
  <c r="CG53" i="1" s="1"/>
  <c r="AY53" i="1"/>
  <c r="BA53" i="1" s="1"/>
  <c r="CC53" i="1" s="1"/>
  <c r="AE53" i="1"/>
  <c r="CH88" i="1"/>
  <c r="AE88" i="1"/>
  <c r="BB50" i="1"/>
  <c r="BC50" i="1" s="1"/>
  <c r="AX50" i="1"/>
  <c r="CG50" i="1" s="1"/>
  <c r="CH50" i="1"/>
  <c r="AE50" i="1"/>
  <c r="CH52" i="1"/>
  <c r="BB52" i="1"/>
  <c r="BC52" i="1" s="1"/>
  <c r="BD52" i="1"/>
  <c r="BE52" i="1" s="1"/>
  <c r="AX52" i="1"/>
  <c r="AY52" i="1"/>
  <c r="BA52" i="1" s="1"/>
  <c r="CC52" i="1" s="1"/>
  <c r="AE52" i="1"/>
  <c r="AZ23" i="1"/>
  <c r="CB23" i="1" s="1"/>
  <c r="BA42" i="1"/>
  <c r="BF42" i="1" s="1"/>
  <c r="CH60" i="1"/>
  <c r="AE60" i="1"/>
  <c r="AZ15" i="1"/>
  <c r="CB15" i="1" s="1"/>
  <c r="AZ22" i="1"/>
  <c r="CB22" i="1" s="1"/>
  <c r="CH125" i="1"/>
  <c r="BB125" i="1"/>
  <c r="BC125" i="1" s="1"/>
  <c r="AX125" i="1"/>
  <c r="CG125" i="1" s="1"/>
  <c r="AE125" i="1"/>
  <c r="AX12" i="1"/>
  <c r="BD125" i="1"/>
  <c r="BE125" i="1" s="1"/>
  <c r="AX2" i="1"/>
  <c r="CG2" i="1" s="1"/>
  <c r="AY2" i="1"/>
  <c r="BA2" i="1" s="1"/>
  <c r="CC2" i="1" s="1"/>
  <c r="CH2" i="1"/>
  <c r="AE6" i="1"/>
  <c r="AY6" i="1"/>
  <c r="BA6" i="1" s="1"/>
  <c r="CH14" i="1"/>
  <c r="AY14" i="1"/>
  <c r="BA14" i="1" s="1"/>
  <c r="CC14" i="1" s="1"/>
  <c r="BD14" i="1"/>
  <c r="BE14" i="1" s="1"/>
  <c r="AY20" i="1"/>
  <c r="CG20" i="1" s="1"/>
  <c r="CH6" i="1"/>
  <c r="BB83" i="1"/>
  <c r="BC83" i="1" s="1"/>
  <c r="AY83" i="1"/>
  <c r="AX14" i="1"/>
  <c r="CG14" i="1" s="1"/>
  <c r="AZ30" i="1"/>
  <c r="CB30" i="1" s="1"/>
  <c r="CG30" i="1"/>
  <c r="AY38" i="1"/>
  <c r="BA38" i="1" s="1"/>
  <c r="CC38" i="1" s="1"/>
  <c r="AX38" i="1"/>
  <c r="CG38" i="1" s="1"/>
  <c r="AE38" i="1"/>
  <c r="BD38" i="1"/>
  <c r="BE38" i="1" s="1"/>
  <c r="CH57" i="1"/>
  <c r="AE57" i="1"/>
  <c r="AX61" i="1"/>
  <c r="N61" i="1"/>
  <c r="N83" i="1"/>
  <c r="BD11" i="1"/>
  <c r="BE11" i="1" s="1"/>
  <c r="CH11" i="1"/>
  <c r="BB11" i="1"/>
  <c r="BC11" i="1" s="1"/>
  <c r="BB30" i="1"/>
  <c r="BC30" i="1" s="1"/>
  <c r="CH23" i="1"/>
  <c r="CG23" i="1"/>
  <c r="AY23" i="1"/>
  <c r="BA23" i="1" s="1"/>
  <c r="CC23" i="1" s="1"/>
  <c r="AE12" i="1"/>
  <c r="AE23" i="1"/>
  <c r="CH40" i="1"/>
  <c r="AY40" i="1"/>
  <c r="CG40" i="1" s="1"/>
  <c r="AE40" i="1"/>
  <c r="AE20" i="1"/>
  <c r="AY11" i="1"/>
  <c r="BA11" i="1" s="1"/>
  <c r="CC11" i="1" s="1"/>
  <c r="AY29" i="1"/>
  <c r="BA29" i="1" s="1"/>
  <c r="CC29" i="1" s="1"/>
  <c r="AX29" i="1"/>
  <c r="AZ68" i="1"/>
  <c r="CB68" i="1" s="1"/>
  <c r="AE14" i="1"/>
  <c r="AY4" i="1"/>
  <c r="BA4" i="1" s="1"/>
  <c r="CC4" i="1" s="1"/>
  <c r="AE4" i="1"/>
  <c r="AX4" i="1"/>
  <c r="AE10" i="1"/>
  <c r="AE8" i="1"/>
  <c r="BD8" i="1"/>
  <c r="BE8" i="1" s="1"/>
  <c r="CH8" i="1"/>
  <c r="AY8" i="1"/>
  <c r="CG8" i="1" s="1"/>
  <c r="CH38" i="1"/>
  <c r="AZ58" i="1"/>
  <c r="AY61" i="1"/>
  <c r="BA61" i="1" s="1"/>
  <c r="CC61" i="1" s="1"/>
  <c r="AZ74" i="1"/>
  <c r="CB74" i="1" s="1"/>
  <c r="CE82" i="1"/>
  <c r="CB82" i="1"/>
  <c r="CC82" i="1"/>
  <c r="CH42" i="1"/>
  <c r="CG42" i="1"/>
  <c r="CH34" i="1"/>
  <c r="AY34" i="1"/>
  <c r="BA34" i="1" s="1"/>
  <c r="CC34" i="1" s="1"/>
  <c r="AX34" i="1"/>
  <c r="AE42" i="1"/>
  <c r="AX11" i="1"/>
  <c r="CG11" i="1" s="1"/>
  <c r="AE66" i="1"/>
  <c r="CH66" i="1"/>
  <c r="AY88" i="1"/>
  <c r="AX88" i="1"/>
  <c r="CG88" i="1" s="1"/>
  <c r="BB88" i="1"/>
  <c r="BC88" i="1" s="1"/>
  <c r="AY12" i="1"/>
  <c r="BA12" i="1" s="1"/>
  <c r="CC12" i="1" s="1"/>
  <c r="CH29" i="1"/>
  <c r="CG45" i="1"/>
  <c r="CE45" i="1"/>
  <c r="AZ45" i="1"/>
  <c r="AE2" i="1"/>
  <c r="AE5" i="1"/>
  <c r="AY5" i="1"/>
  <c r="BA5" i="1" s="1"/>
  <c r="CC5" i="1" s="1"/>
  <c r="AX5" i="1"/>
  <c r="CH10" i="1"/>
  <c r="BB28" i="1"/>
  <c r="BC28" i="1" s="1"/>
  <c r="AY10" i="1"/>
  <c r="BA10" i="1" s="1"/>
  <c r="CC10" i="1" s="1"/>
  <c r="AX10" i="1"/>
  <c r="CH20" i="1"/>
  <c r="AE29" i="1"/>
  <c r="CH22" i="1"/>
  <c r="CG22" i="1"/>
  <c r="BD22" i="1"/>
  <c r="BE22" i="1" s="1"/>
  <c r="AY22" i="1"/>
  <c r="BA22" i="1" s="1"/>
  <c r="CC22" i="1" s="1"/>
  <c r="BB61" i="1"/>
  <c r="BC61" i="1" s="1"/>
  <c r="BD103" i="1"/>
  <c r="BE103" i="1" s="1"/>
  <c r="BB103" i="1"/>
  <c r="BC103" i="1" s="1"/>
  <c r="AY103" i="1"/>
  <c r="N103" i="1"/>
  <c r="N108" i="1"/>
  <c r="AY108" i="1"/>
  <c r="BA108" i="1" s="1"/>
  <c r="AY120" i="1"/>
  <c r="BB120" i="1"/>
  <c r="BC120" i="1" s="1"/>
  <c r="CH18" i="1"/>
  <c r="BD18" i="1"/>
  <c r="BE18" i="1" s="1"/>
  <c r="AY102" i="1"/>
  <c r="BB102" i="1"/>
  <c r="BC102" i="1" s="1"/>
  <c r="N102" i="1"/>
  <c r="N120" i="1"/>
  <c r="CH17" i="1"/>
  <c r="AY17" i="1"/>
  <c r="AE18" i="1"/>
  <c r="CG47" i="1"/>
  <c r="AE72" i="1"/>
  <c r="AZ92" i="1"/>
  <c r="CB92" i="1" s="1"/>
  <c r="AX132" i="1"/>
  <c r="BB132" i="1"/>
  <c r="BC132" i="1" s="1"/>
  <c r="CH132" i="1"/>
  <c r="AE132" i="1"/>
  <c r="BD132" i="1"/>
  <c r="BE132" i="1" s="1"/>
  <c r="CE47" i="1"/>
  <c r="N59" i="1"/>
  <c r="BB59" i="1"/>
  <c r="BC59" i="1" s="1"/>
  <c r="AY59" i="1"/>
  <c r="AX13" i="1"/>
  <c r="CG13" i="1" s="1"/>
  <c r="CH15" i="1"/>
  <c r="CG15" i="1"/>
  <c r="AY15" i="1"/>
  <c r="BA15" i="1" s="1"/>
  <c r="CC15" i="1" s="1"/>
  <c r="AX18" i="1"/>
  <c r="CG18" i="1" s="1"/>
  <c r="CH35" i="1"/>
  <c r="BD35" i="1"/>
  <c r="BE35" i="1" s="1"/>
  <c r="BD36" i="1"/>
  <c r="BE36" i="1" s="1"/>
  <c r="CH36" i="1"/>
  <c r="CH51" i="1"/>
  <c r="AY51" i="1"/>
  <c r="CG51" i="1" s="1"/>
  <c r="AE51" i="1"/>
  <c r="AY67" i="1"/>
  <c r="AX67" i="1"/>
  <c r="BB67" i="1"/>
  <c r="BC67" i="1" s="1"/>
  <c r="N68" i="1"/>
  <c r="BD89" i="1"/>
  <c r="BE89" i="1" s="1"/>
  <c r="BB89" i="1"/>
  <c r="BC89" i="1" s="1"/>
  <c r="AY89" i="1"/>
  <c r="CB119" i="1"/>
  <c r="CC119" i="1"/>
  <c r="BB60" i="1"/>
  <c r="BC60" i="1" s="1"/>
  <c r="AY60" i="1"/>
  <c r="BA60" i="1" s="1"/>
  <c r="CC60" i="1" s="1"/>
  <c r="AX60" i="1"/>
  <c r="AY66" i="1"/>
  <c r="BA66" i="1" s="1"/>
  <c r="CC66" i="1" s="1"/>
  <c r="AX66" i="1"/>
  <c r="BB66" i="1"/>
  <c r="BC66" i="1" s="1"/>
  <c r="BA95" i="1"/>
  <c r="AE104" i="1"/>
  <c r="CH104" i="1"/>
  <c r="AX7" i="1"/>
  <c r="AE9" i="1"/>
  <c r="AY13" i="1"/>
  <c r="BA13" i="1" s="1"/>
  <c r="CC13" i="1" s="1"/>
  <c r="CH13" i="1"/>
  <c r="AE15" i="1"/>
  <c r="AE16" i="1"/>
  <c r="AY18" i="1"/>
  <c r="BA18" i="1" s="1"/>
  <c r="CC18" i="1" s="1"/>
  <c r="BD19" i="1"/>
  <c r="BE19" i="1" s="1"/>
  <c r="CH19" i="1"/>
  <c r="BF21" i="1"/>
  <c r="CG21" i="1"/>
  <c r="AE35" i="1"/>
  <c r="AE36" i="1"/>
  <c r="BA49" i="1"/>
  <c r="BD66" i="1"/>
  <c r="BE66" i="1" s="1"/>
  <c r="N67" i="1"/>
  <c r="AY73" i="1"/>
  <c r="N73" i="1"/>
  <c r="BD73" i="1"/>
  <c r="BE73" i="1" s="1"/>
  <c r="BD74" i="1"/>
  <c r="BE74" i="1" s="1"/>
  <c r="N74" i="1"/>
  <c r="AY74" i="1"/>
  <c r="BA74" i="1" s="1"/>
  <c r="CC74" i="1" s="1"/>
  <c r="N82" i="1"/>
  <c r="BB82" i="1"/>
  <c r="CB85" i="1"/>
  <c r="BF85" i="1"/>
  <c r="CH89" i="1"/>
  <c r="CE107" i="1"/>
  <c r="CB107" i="1"/>
  <c r="CH109" i="1"/>
  <c r="AE109" i="1"/>
  <c r="BD30" i="1"/>
  <c r="BE30" i="1" s="1"/>
  <c r="CH30" i="1"/>
  <c r="CH43" i="1"/>
  <c r="BB71" i="1"/>
  <c r="BC71" i="1" s="1"/>
  <c r="AY71" i="1"/>
  <c r="BB86" i="1"/>
  <c r="BC86" i="1" s="1"/>
  <c r="AY86" i="1"/>
  <c r="AX86" i="1"/>
  <c r="N91" i="1"/>
  <c r="BB91" i="1"/>
  <c r="BC91" i="1" s="1"/>
  <c r="CE122" i="1"/>
  <c r="AZ122" i="1"/>
  <c r="AX131" i="1"/>
  <c r="CG131" i="1" s="1"/>
  <c r="BD28" i="1"/>
  <c r="BE28" i="1" s="1"/>
  <c r="CH28" i="1"/>
  <c r="AE30" i="1"/>
  <c r="AE43" i="1"/>
  <c r="CD43" i="1" s="1"/>
  <c r="CH44" i="1"/>
  <c r="BA48" i="1"/>
  <c r="AE79" i="1"/>
  <c r="CH79" i="1"/>
  <c r="N86" i="1"/>
  <c r="AY126" i="1"/>
  <c r="BA126" i="1" s="1"/>
  <c r="CC126" i="1" s="1"/>
  <c r="AX126" i="1"/>
  <c r="CG126" i="1" s="1"/>
  <c r="BB127" i="1"/>
  <c r="BC127" i="1" s="1"/>
  <c r="AY127" i="1"/>
  <c r="CG127" i="1" s="1"/>
  <c r="AE127" i="1"/>
  <c r="AE131" i="1"/>
  <c r="BD41" i="1"/>
  <c r="BE41" i="1" s="1"/>
  <c r="N54" i="1"/>
  <c r="N55" i="1"/>
  <c r="N56" i="1"/>
  <c r="N63" i="1"/>
  <c r="AX70" i="1"/>
  <c r="N70" i="1"/>
  <c r="AE71" i="1"/>
  <c r="AX79" i="1"/>
  <c r="CG79" i="1" s="1"/>
  <c r="AY91" i="1"/>
  <c r="AX93" i="1"/>
  <c r="AY93" i="1"/>
  <c r="BA93" i="1" s="1"/>
  <c r="CC93" i="1" s="1"/>
  <c r="N93" i="1"/>
  <c r="BD93" i="1"/>
  <c r="BE93" i="1" s="1"/>
  <c r="BB93" i="1"/>
  <c r="BC93" i="1" s="1"/>
  <c r="BB106" i="1"/>
  <c r="BC106" i="1" s="1"/>
  <c r="N106" i="1"/>
  <c r="BD106" i="1"/>
  <c r="BE106" i="1" s="1"/>
  <c r="AY106" i="1"/>
  <c r="AE126" i="1"/>
  <c r="CH75" i="1"/>
  <c r="N96" i="1"/>
  <c r="AX96" i="1"/>
  <c r="AY96" i="1"/>
  <c r="BA96" i="1" s="1"/>
  <c r="CC96" i="1" s="1"/>
  <c r="CE99" i="1"/>
  <c r="CB99" i="1"/>
  <c r="CC99" i="1"/>
  <c r="N85" i="1"/>
  <c r="BD90" i="1"/>
  <c r="BE90" i="1" s="1"/>
  <c r="AY90" i="1"/>
  <c r="N90" i="1"/>
  <c r="BB92" i="1"/>
  <c r="BC92" i="1" s="1"/>
  <c r="AY92" i="1"/>
  <c r="CE92" i="1" s="1"/>
  <c r="BB96" i="1"/>
  <c r="BC96" i="1" s="1"/>
  <c r="BB100" i="1"/>
  <c r="BC100" i="1" s="1"/>
  <c r="AY100" i="1"/>
  <c r="AE111" i="1"/>
  <c r="BB117" i="1"/>
  <c r="BC117" i="1" s="1"/>
  <c r="AX117" i="1"/>
  <c r="N117" i="1"/>
  <c r="AE118" i="1"/>
  <c r="N76" i="1"/>
  <c r="N92" i="1"/>
  <c r="AE97" i="1"/>
  <c r="N100" i="1"/>
  <c r="CH101" i="1"/>
  <c r="CG101" i="1"/>
  <c r="BB109" i="1"/>
  <c r="BC109" i="1" s="1"/>
  <c r="BD109" i="1"/>
  <c r="BE109" i="1" s="1"/>
  <c r="AY109" i="1"/>
  <c r="CG109" i="1" s="1"/>
  <c r="CG110" i="1"/>
  <c r="CH110" i="1"/>
  <c r="BB123" i="1"/>
  <c r="BC123" i="1" s="1"/>
  <c r="AX121" i="1"/>
  <c r="AY121" i="1"/>
  <c r="BA121" i="1" s="1"/>
  <c r="CC121" i="1" s="1"/>
  <c r="CE124" i="1"/>
  <c r="CB124" i="1"/>
  <c r="CG124" i="1"/>
  <c r="BB95" i="1"/>
  <c r="BC95" i="1" s="1"/>
  <c r="N95" i="1"/>
  <c r="AX115" i="1"/>
  <c r="N115" i="1"/>
  <c r="N121" i="1"/>
  <c r="CG107" i="1"/>
  <c r="AY115" i="1"/>
  <c r="BA115" i="1" s="1"/>
  <c r="CC115" i="1" s="1"/>
  <c r="AX116" i="1"/>
  <c r="AY116" i="1"/>
  <c r="BA116" i="1" s="1"/>
  <c r="CC116" i="1" s="1"/>
  <c r="BF124" i="1"/>
  <c r="CH112" i="1"/>
  <c r="AY97" i="1"/>
  <c r="BA97" i="1" s="1"/>
  <c r="CC97" i="1" s="1"/>
  <c r="AX97" i="1"/>
  <c r="CG97" i="1" s="1"/>
  <c r="AX112" i="1"/>
  <c r="CG112" i="1" s="1"/>
  <c r="AY113" i="1"/>
  <c r="BA113" i="1" s="1"/>
  <c r="CC113" i="1" s="1"/>
  <c r="AX113" i="1"/>
  <c r="AE114" i="1"/>
  <c r="N98" i="1"/>
  <c r="CG35" i="1" l="1"/>
  <c r="CE36" i="1"/>
  <c r="AZ57" i="1"/>
  <c r="CB57" i="1" s="1"/>
  <c r="BF77" i="1"/>
  <c r="AZ36" i="1"/>
  <c r="CB36" i="1" s="1"/>
  <c r="CD107" i="1"/>
  <c r="CB46" i="1"/>
  <c r="CE75" i="1"/>
  <c r="CG32" i="1"/>
  <c r="CE68" i="1"/>
  <c r="CG69" i="1"/>
  <c r="AZ75" i="1"/>
  <c r="CB75" i="1" s="1"/>
  <c r="CG78" i="1"/>
  <c r="CH105" i="1"/>
  <c r="AE105" i="1"/>
  <c r="CD105" i="1" s="1"/>
  <c r="BF87" i="1"/>
  <c r="AZ69" i="1"/>
  <c r="CB69" i="1" s="1"/>
  <c r="AZ26" i="1"/>
  <c r="CB26" i="1" s="1"/>
  <c r="CE94" i="1"/>
  <c r="AZ33" i="1"/>
  <c r="CB33" i="1" s="1"/>
  <c r="AZ24" i="1"/>
  <c r="CB24" i="1" s="1"/>
  <c r="CE78" i="1"/>
  <c r="CD42" i="1"/>
  <c r="CE24" i="1"/>
  <c r="BF84" i="1"/>
  <c r="AE122" i="1"/>
  <c r="CD122" i="1" s="1"/>
  <c r="CG122" i="1"/>
  <c r="BF32" i="1"/>
  <c r="AE119" i="1"/>
  <c r="CD119" i="1" s="1"/>
  <c r="BF46" i="1"/>
  <c r="AZ35" i="1"/>
  <c r="CD35" i="1" s="1"/>
  <c r="CH78" i="1"/>
  <c r="CD36" i="1"/>
  <c r="CG114" i="1"/>
  <c r="BF70" i="1"/>
  <c r="AZ9" i="1"/>
  <c r="CB9" i="1" s="1"/>
  <c r="CD32" i="1"/>
  <c r="CD46" i="1"/>
  <c r="CG9" i="1"/>
  <c r="CG123" i="1"/>
  <c r="CH58" i="1"/>
  <c r="AZ28" i="1"/>
  <c r="CB28" i="1" s="1"/>
  <c r="CG87" i="1"/>
  <c r="BA104" i="1"/>
  <c r="CE104" i="1" s="1"/>
  <c r="CB110" i="1"/>
  <c r="CH99" i="1"/>
  <c r="CE16" i="1"/>
  <c r="BF94" i="1"/>
  <c r="CD30" i="1"/>
  <c r="CC110" i="1"/>
  <c r="AZ16" i="1"/>
  <c r="CB16" i="1" s="1"/>
  <c r="CE26" i="1"/>
  <c r="CE110" i="1"/>
  <c r="BF98" i="1"/>
  <c r="CE32" i="1"/>
  <c r="CE123" i="1"/>
  <c r="CG118" i="1"/>
  <c r="CE39" i="1"/>
  <c r="CG99" i="1"/>
  <c r="CH122" i="1"/>
  <c r="CG81" i="1"/>
  <c r="CG128" i="1"/>
  <c r="CG64" i="1"/>
  <c r="AE81" i="1"/>
  <c r="AZ128" i="1"/>
  <c r="CD128" i="1" s="1"/>
  <c r="AE94" i="1"/>
  <c r="CD94" i="1" s="1"/>
  <c r="CH64" i="1"/>
  <c r="BF119" i="1"/>
  <c r="CE33" i="1"/>
  <c r="CE57" i="1"/>
  <c r="CG94" i="1"/>
  <c r="CH62" i="1"/>
  <c r="CH116" i="1"/>
  <c r="CG62" i="1"/>
  <c r="CE21" i="1"/>
  <c r="BF64" i="1"/>
  <c r="CD118" i="1"/>
  <c r="CG77" i="1"/>
  <c r="BF31" i="1"/>
  <c r="CD19" i="1"/>
  <c r="AE77" i="1"/>
  <c r="CD77" i="1" s="1"/>
  <c r="AZ41" i="1"/>
  <c r="CB41" i="1" s="1"/>
  <c r="BA75" i="1"/>
  <c r="CE31" i="1"/>
  <c r="CG19" i="1"/>
  <c r="CE19" i="1"/>
  <c r="CE41" i="1"/>
  <c r="AE80" i="1"/>
  <c r="CD80" i="1" s="1"/>
  <c r="AZ65" i="1"/>
  <c r="CB65" i="1" s="1"/>
  <c r="AZ111" i="1"/>
  <c r="CB111" i="1" s="1"/>
  <c r="CE3" i="1"/>
  <c r="CE54" i="1"/>
  <c r="BF118" i="1"/>
  <c r="CE80" i="1"/>
  <c r="CG3" i="1"/>
  <c r="CE76" i="1"/>
  <c r="CG37" i="1"/>
  <c r="CE111" i="1"/>
  <c r="CE37" i="1"/>
  <c r="BA68" i="1"/>
  <c r="CC68" i="1" s="1"/>
  <c r="BF123" i="1"/>
  <c r="BF75" i="1"/>
  <c r="CD37" i="1"/>
  <c r="AZ27" i="1"/>
  <c r="CB27" i="1" s="1"/>
  <c r="BF80" i="1"/>
  <c r="CE77" i="1"/>
  <c r="BF99" i="1"/>
  <c r="AZ81" i="1"/>
  <c r="CB81" i="1" s="1"/>
  <c r="BF95" i="1"/>
  <c r="CD21" i="1"/>
  <c r="CE27" i="1"/>
  <c r="CE64" i="1"/>
  <c r="CE28" i="1"/>
  <c r="CE81" i="1"/>
  <c r="CE55" i="1"/>
  <c r="CE72" i="1"/>
  <c r="CE56" i="1"/>
  <c r="CG84" i="1"/>
  <c r="AE84" i="1"/>
  <c r="CH84" i="1"/>
  <c r="CE130" i="1"/>
  <c r="AZ130" i="1"/>
  <c r="BF69" i="1"/>
  <c r="CD64" i="1"/>
  <c r="CD78" i="1"/>
  <c r="CB64" i="1"/>
  <c r="CD57" i="1"/>
  <c r="BF36" i="1"/>
  <c r="CE118" i="1"/>
  <c r="CD104" i="1"/>
  <c r="BF63" i="1"/>
  <c r="CE74" i="1"/>
  <c r="AE58" i="1"/>
  <c r="CD58" i="1" s="1"/>
  <c r="CG58" i="1"/>
  <c r="CE114" i="1"/>
  <c r="BF58" i="1"/>
  <c r="CG80" i="1"/>
  <c r="BF74" i="1"/>
  <c r="CG119" i="1"/>
  <c r="AZ72" i="1"/>
  <c r="CD72" i="1" s="1"/>
  <c r="BA44" i="1"/>
  <c r="CD44" i="1" s="1"/>
  <c r="AZ39" i="1"/>
  <c r="CB39" i="1" s="1"/>
  <c r="CD26" i="1"/>
  <c r="CD69" i="1"/>
  <c r="CD31" i="1"/>
  <c r="CB31" i="1"/>
  <c r="CD3" i="1"/>
  <c r="CG6" i="1"/>
  <c r="BA98" i="1"/>
  <c r="CC98" i="1" s="1"/>
  <c r="CE98" i="1"/>
  <c r="AZ25" i="1"/>
  <c r="CE25" i="1"/>
  <c r="AZ129" i="1"/>
  <c r="CD129" i="1" s="1"/>
  <c r="CE129" i="1"/>
  <c r="CE65" i="1"/>
  <c r="BF56" i="1"/>
  <c r="CE30" i="1"/>
  <c r="CD23" i="1"/>
  <c r="CE84" i="1"/>
  <c r="AZ84" i="1"/>
  <c r="CB84" i="1" s="1"/>
  <c r="BA106" i="1"/>
  <c r="BF106" i="1" s="1"/>
  <c r="AE70" i="1"/>
  <c r="CG70" i="1"/>
  <c r="CH70" i="1"/>
  <c r="CE7" i="1"/>
  <c r="CG7" i="1"/>
  <c r="AZ7" i="1"/>
  <c r="BF7" i="1" s="1"/>
  <c r="CE132" i="1"/>
  <c r="AZ132" i="1"/>
  <c r="CD132" i="1" s="1"/>
  <c r="BF19" i="1"/>
  <c r="AZ10" i="1"/>
  <c r="CB10" i="1" s="1"/>
  <c r="CE10" i="1"/>
  <c r="CB128" i="1"/>
  <c r="CH106" i="1"/>
  <c r="CG106" i="1"/>
  <c r="AE106" i="1"/>
  <c r="AZ86" i="1"/>
  <c r="CB86" i="1" s="1"/>
  <c r="CE86" i="1"/>
  <c r="BC82" i="1"/>
  <c r="BF82" i="1" s="1"/>
  <c r="CD114" i="1"/>
  <c r="AE117" i="1"/>
  <c r="CH117" i="1"/>
  <c r="CG117" i="1"/>
  <c r="CH93" i="1"/>
  <c r="AE93" i="1"/>
  <c r="CG93" i="1"/>
  <c r="CH56" i="1"/>
  <c r="AE56" i="1"/>
  <c r="CD56" i="1" s="1"/>
  <c r="CG56" i="1"/>
  <c r="CC101" i="1"/>
  <c r="CB101" i="1"/>
  <c r="CE101" i="1"/>
  <c r="BA86" i="1"/>
  <c r="CC86" i="1" s="1"/>
  <c r="CH67" i="1"/>
  <c r="CG67" i="1"/>
  <c r="AE67" i="1"/>
  <c r="CE13" i="1"/>
  <c r="AZ13" i="1"/>
  <c r="CC104" i="1"/>
  <c r="CB104" i="1"/>
  <c r="CB58" i="1"/>
  <c r="CC58" i="1"/>
  <c r="AE83" i="1"/>
  <c r="CG83" i="1"/>
  <c r="CH83" i="1"/>
  <c r="CB123" i="1"/>
  <c r="CC123" i="1"/>
  <c r="BF22" i="1"/>
  <c r="CG113" i="1"/>
  <c r="CE113" i="1"/>
  <c r="AZ113" i="1"/>
  <c r="CE121" i="1"/>
  <c r="AZ121" i="1"/>
  <c r="CB121" i="1" s="1"/>
  <c r="BA92" i="1"/>
  <c r="CC92" i="1" s="1"/>
  <c r="BA127" i="1"/>
  <c r="BF127" i="1" s="1"/>
  <c r="AZ131" i="1"/>
  <c r="CD131" i="1" s="1"/>
  <c r="CE131" i="1"/>
  <c r="CD15" i="1"/>
  <c r="BA103" i="1"/>
  <c r="AZ34" i="1"/>
  <c r="CE34" i="1"/>
  <c r="BA67" i="1"/>
  <c r="CC67" i="1" s="1"/>
  <c r="AZ115" i="1"/>
  <c r="CB115" i="1" s="1"/>
  <c r="CE115" i="1"/>
  <c r="AE73" i="1"/>
  <c r="CH73" i="1"/>
  <c r="CG73" i="1"/>
  <c r="AE120" i="1"/>
  <c r="CG120" i="1"/>
  <c r="CH120" i="1"/>
  <c r="BA40" i="1"/>
  <c r="BF40" i="1" s="1"/>
  <c r="CG98" i="1"/>
  <c r="AE98" i="1"/>
  <c r="CH98" i="1"/>
  <c r="BA100" i="1"/>
  <c r="BF100" i="1" s="1"/>
  <c r="CE66" i="1"/>
  <c r="AZ66" i="1"/>
  <c r="CB66" i="1" s="1"/>
  <c r="CE108" i="1"/>
  <c r="CB108" i="1"/>
  <c r="CC108" i="1"/>
  <c r="CH100" i="1"/>
  <c r="CG100" i="1"/>
  <c r="AE100" i="1"/>
  <c r="CH76" i="1"/>
  <c r="AE76" i="1"/>
  <c r="CD76" i="1" s="1"/>
  <c r="CG76" i="1"/>
  <c r="CH85" i="1"/>
  <c r="CG85" i="1"/>
  <c r="AE85" i="1"/>
  <c r="CD85" i="1" s="1"/>
  <c r="CH63" i="1"/>
  <c r="CG63" i="1"/>
  <c r="AE63" i="1"/>
  <c r="CD63" i="1" s="1"/>
  <c r="CG132" i="1"/>
  <c r="AZ12" i="1"/>
  <c r="CB12" i="1" s="1"/>
  <c r="CE12" i="1"/>
  <c r="CB45" i="1"/>
  <c r="CD45" i="1"/>
  <c r="BF41" i="1"/>
  <c r="CD22" i="1"/>
  <c r="CH86" i="1"/>
  <c r="AE86" i="1"/>
  <c r="CG86" i="1"/>
  <c r="BA89" i="1"/>
  <c r="CE29" i="1"/>
  <c r="AZ29" i="1"/>
  <c r="CB29" i="1" s="1"/>
  <c r="CG29" i="1"/>
  <c r="BA109" i="1"/>
  <c r="BF109" i="1" s="1"/>
  <c r="CE93" i="1"/>
  <c r="AZ93" i="1"/>
  <c r="CB93" i="1" s="1"/>
  <c r="CH54" i="1"/>
  <c r="CG54" i="1"/>
  <c r="AE54" i="1"/>
  <c r="CD54" i="1" s="1"/>
  <c r="CE48" i="1"/>
  <c r="CD48" i="1"/>
  <c r="BF48" i="1"/>
  <c r="CB48" i="1"/>
  <c r="CC48" i="1"/>
  <c r="BF101" i="1"/>
  <c r="CH74" i="1"/>
  <c r="CG74" i="1"/>
  <c r="AE74" i="1"/>
  <c r="CD74" i="1" s="1"/>
  <c r="CE60" i="1"/>
  <c r="AZ60" i="1"/>
  <c r="CB60" i="1" s="1"/>
  <c r="BA59" i="1"/>
  <c r="BF59" i="1" s="1"/>
  <c r="BA120" i="1"/>
  <c r="BF55" i="1"/>
  <c r="CE11" i="1"/>
  <c r="AZ11" i="1"/>
  <c r="BF11" i="1" s="1"/>
  <c r="BA83" i="1"/>
  <c r="BF83" i="1" s="1"/>
  <c r="BF28" i="1"/>
  <c r="CE15" i="1"/>
  <c r="CE23" i="1"/>
  <c r="AZ53" i="1"/>
  <c r="CB53" i="1" s="1"/>
  <c r="CE53" i="1"/>
  <c r="AZ112" i="1"/>
  <c r="CE112" i="1"/>
  <c r="CH121" i="1"/>
  <c r="AE121" i="1"/>
  <c r="CG121" i="1"/>
  <c r="AE95" i="1"/>
  <c r="CD95" i="1" s="1"/>
  <c r="CG95" i="1"/>
  <c r="CH95" i="1"/>
  <c r="CH90" i="1"/>
  <c r="CG90" i="1"/>
  <c r="AE90" i="1"/>
  <c r="AZ96" i="1"/>
  <c r="CB96" i="1" s="1"/>
  <c r="CE96" i="1"/>
  <c r="BA91" i="1"/>
  <c r="CG89" i="1"/>
  <c r="BA17" i="1"/>
  <c r="CG17" i="1"/>
  <c r="CE5" i="1"/>
  <c r="AZ5" i="1"/>
  <c r="CB5" i="1" s="1"/>
  <c r="CG5" i="1"/>
  <c r="BF45" i="1"/>
  <c r="AZ88" i="1"/>
  <c r="CB88" i="1" s="1"/>
  <c r="CE88" i="1"/>
  <c r="CD28" i="1"/>
  <c r="CH61" i="1"/>
  <c r="AE61" i="1"/>
  <c r="CG61" i="1"/>
  <c r="CE38" i="1"/>
  <c r="AZ38" i="1"/>
  <c r="CB38" i="1" s="1"/>
  <c r="CG60" i="1"/>
  <c r="CE87" i="1"/>
  <c r="CC87" i="1"/>
  <c r="CB87" i="1"/>
  <c r="CD87" i="1"/>
  <c r="BF9" i="1"/>
  <c r="CE70" i="1"/>
  <c r="AZ70" i="1"/>
  <c r="CB70" i="1" s="1"/>
  <c r="CG91" i="1"/>
  <c r="CH91" i="1"/>
  <c r="AE91" i="1"/>
  <c r="BA73" i="1"/>
  <c r="CC62" i="1"/>
  <c r="CE62" i="1"/>
  <c r="CB62" i="1"/>
  <c r="BF62" i="1"/>
  <c r="CH102" i="1"/>
  <c r="CG102" i="1"/>
  <c r="AE102" i="1"/>
  <c r="CE4" i="1"/>
  <c r="AZ4" i="1"/>
  <c r="CB4" i="1" s="1"/>
  <c r="CG4" i="1"/>
  <c r="CE14" i="1"/>
  <c r="AZ14" i="1"/>
  <c r="CB14" i="1" s="1"/>
  <c r="BF54" i="1"/>
  <c r="CH68" i="1"/>
  <c r="CG68" i="1"/>
  <c r="AE68" i="1"/>
  <c r="CG108" i="1"/>
  <c r="AE108" i="1"/>
  <c r="CD108" i="1" s="1"/>
  <c r="CH108" i="1"/>
  <c r="CD33" i="1"/>
  <c r="BA8" i="1"/>
  <c r="BF8" i="1" s="1"/>
  <c r="AE82" i="1"/>
  <c r="CD82" i="1" s="1"/>
  <c r="CG82" i="1"/>
  <c r="CH82" i="1"/>
  <c r="CD101" i="1"/>
  <c r="BA102" i="1"/>
  <c r="CH103" i="1"/>
  <c r="CG103" i="1"/>
  <c r="AE103" i="1"/>
  <c r="CG10" i="1"/>
  <c r="CG66" i="1"/>
  <c r="CG12" i="1"/>
  <c r="BF30" i="1"/>
  <c r="CB6" i="1"/>
  <c r="CE6" i="1"/>
  <c r="CC6" i="1"/>
  <c r="CD123" i="1"/>
  <c r="CE52" i="1"/>
  <c r="AZ52" i="1"/>
  <c r="CB52" i="1" s="1"/>
  <c r="AZ117" i="1"/>
  <c r="CE117" i="1"/>
  <c r="CH55" i="1"/>
  <c r="AE55" i="1"/>
  <c r="CD55" i="1" s="1"/>
  <c r="CG55" i="1"/>
  <c r="CB95" i="1"/>
  <c r="CC95" i="1"/>
  <c r="CE95" i="1"/>
  <c r="BF78" i="1"/>
  <c r="AZ67" i="1"/>
  <c r="CB67" i="1" s="1"/>
  <c r="CE67" i="1"/>
  <c r="CD39" i="1"/>
  <c r="CD6" i="1"/>
  <c r="CE22" i="1"/>
  <c r="AZ50" i="1"/>
  <c r="CD50" i="1" s="1"/>
  <c r="CE50" i="1"/>
  <c r="CE79" i="1"/>
  <c r="AZ79" i="1"/>
  <c r="CC122" i="1"/>
  <c r="CB122" i="1"/>
  <c r="BA71" i="1"/>
  <c r="BF71" i="1" s="1"/>
  <c r="CG71" i="1"/>
  <c r="CE49" i="1"/>
  <c r="CB49" i="1"/>
  <c r="CC49" i="1"/>
  <c r="BA51" i="1"/>
  <c r="BF51" i="1" s="1"/>
  <c r="CG34" i="1"/>
  <c r="CG52" i="1"/>
  <c r="CE97" i="1"/>
  <c r="AZ97" i="1"/>
  <c r="CB97" i="1" s="1"/>
  <c r="CE116" i="1"/>
  <c r="AZ116" i="1"/>
  <c r="BF116" i="1" s="1"/>
  <c r="CG116" i="1"/>
  <c r="AE115" i="1"/>
  <c r="CD115" i="1" s="1"/>
  <c r="CH115" i="1"/>
  <c r="CG115" i="1"/>
  <c r="CH92" i="1"/>
  <c r="AE92" i="1"/>
  <c r="CG92" i="1"/>
  <c r="BA90" i="1"/>
  <c r="BF90" i="1" s="1"/>
  <c r="AE96" i="1"/>
  <c r="CH96" i="1"/>
  <c r="CG96" i="1"/>
  <c r="CE126" i="1"/>
  <c r="AZ126" i="1"/>
  <c r="CB126" i="1" s="1"/>
  <c r="BF122" i="1"/>
  <c r="CD9" i="1"/>
  <c r="CE18" i="1"/>
  <c r="AZ18" i="1"/>
  <c r="CB18" i="1" s="1"/>
  <c r="CG59" i="1"/>
  <c r="AE59" i="1"/>
  <c r="CH59" i="1"/>
  <c r="CD62" i="1"/>
  <c r="BA88" i="1"/>
  <c r="CC88" i="1" s="1"/>
  <c r="AZ61" i="1"/>
  <c r="CB61" i="1" s="1"/>
  <c r="CE61" i="1"/>
  <c r="BA20" i="1"/>
  <c r="CD20" i="1" s="1"/>
  <c r="AZ2" i="1"/>
  <c r="CB2" i="1" s="1"/>
  <c r="CE2" i="1"/>
  <c r="CD49" i="1"/>
  <c r="AZ125" i="1"/>
  <c r="BF125" i="1" s="1"/>
  <c r="CE125" i="1"/>
  <c r="CC42" i="1"/>
  <c r="CB42" i="1"/>
  <c r="CE42" i="1"/>
  <c r="BF24" i="1" l="1"/>
  <c r="BF68" i="1"/>
  <c r="BF26" i="1"/>
  <c r="CB35" i="1"/>
  <c r="BF35" i="1"/>
  <c r="CD98" i="1"/>
  <c r="CD41" i="1"/>
  <c r="CD92" i="1"/>
  <c r="CD24" i="1"/>
  <c r="BF16" i="1"/>
  <c r="CD111" i="1"/>
  <c r="BF104" i="1"/>
  <c r="BF81" i="1"/>
  <c r="CD68" i="1"/>
  <c r="CD81" i="1"/>
  <c r="CB44" i="1"/>
  <c r="CC128" i="1"/>
  <c r="CD16" i="1"/>
  <c r="CD40" i="1"/>
  <c r="CD14" i="1"/>
  <c r="CD71" i="1"/>
  <c r="CD127" i="1"/>
  <c r="CD66" i="1"/>
  <c r="CD65" i="1"/>
  <c r="CC44" i="1"/>
  <c r="CC75" i="1"/>
  <c r="CD75" i="1"/>
  <c r="BF111" i="1"/>
  <c r="BF52" i="1"/>
  <c r="BF14" i="1"/>
  <c r="BF20" i="1"/>
  <c r="BF27" i="1"/>
  <c r="CD27" i="1"/>
  <c r="CD109" i="1"/>
  <c r="CD106" i="1"/>
  <c r="BF61" i="1"/>
  <c r="CD61" i="1"/>
  <c r="CD90" i="1"/>
  <c r="CD121" i="1"/>
  <c r="BF66" i="1"/>
  <c r="BF132" i="1"/>
  <c r="BF67" i="1"/>
  <c r="CB72" i="1"/>
  <c r="BF72" i="1"/>
  <c r="CD130" i="1"/>
  <c r="CB130" i="1"/>
  <c r="BF4" i="1"/>
  <c r="CD38" i="1"/>
  <c r="BF60" i="1"/>
  <c r="CD2" i="1"/>
  <c r="CD60" i="1"/>
  <c r="BF86" i="1"/>
  <c r="CB129" i="1"/>
  <c r="BF129" i="1"/>
  <c r="CC129" i="1"/>
  <c r="BF53" i="1"/>
  <c r="BF12" i="1"/>
  <c r="BF92" i="1"/>
  <c r="CD84" i="1"/>
  <c r="BF88" i="1"/>
  <c r="CB25" i="1"/>
  <c r="BF25" i="1"/>
  <c r="CD25" i="1"/>
  <c r="CC117" i="1"/>
  <c r="CB117" i="1"/>
  <c r="CE51" i="1"/>
  <c r="CC51" i="1"/>
  <c r="CB51" i="1"/>
  <c r="CE91" i="1"/>
  <c r="CC91" i="1"/>
  <c r="CB91" i="1"/>
  <c r="CB112" i="1"/>
  <c r="CD112" i="1"/>
  <c r="CC120" i="1"/>
  <c r="CB120" i="1"/>
  <c r="CE120" i="1"/>
  <c r="CD97" i="1"/>
  <c r="BF91" i="1"/>
  <c r="BF112" i="1"/>
  <c r="BF120" i="1"/>
  <c r="CE100" i="1"/>
  <c r="CC100" i="1"/>
  <c r="CB100" i="1"/>
  <c r="CC131" i="1"/>
  <c r="CB131" i="1"/>
  <c r="CB113" i="1"/>
  <c r="CD113" i="1"/>
  <c r="CC79" i="1"/>
  <c r="CB79" i="1"/>
  <c r="BF79" i="1"/>
  <c r="CE8" i="1"/>
  <c r="CC8" i="1"/>
  <c r="CB8" i="1"/>
  <c r="CD52" i="1"/>
  <c r="CE73" i="1"/>
  <c r="CC73" i="1"/>
  <c r="CB73" i="1"/>
  <c r="CE59" i="1"/>
  <c r="CC59" i="1"/>
  <c r="CB59" i="1"/>
  <c r="CB89" i="1"/>
  <c r="CC89" i="1"/>
  <c r="CE89" i="1"/>
  <c r="CD89" i="1"/>
  <c r="CD59" i="1"/>
  <c r="CD96" i="1"/>
  <c r="CD12" i="1"/>
  <c r="CD51" i="1"/>
  <c r="CD102" i="1"/>
  <c r="CC17" i="1"/>
  <c r="CB17" i="1"/>
  <c r="CD17" i="1"/>
  <c r="CE17" i="1"/>
  <c r="BF96" i="1"/>
  <c r="CC127" i="1"/>
  <c r="CB127" i="1"/>
  <c r="CE127" i="1"/>
  <c r="CD88" i="1"/>
  <c r="CD91" i="1"/>
  <c r="CB11" i="1"/>
  <c r="CD11" i="1"/>
  <c r="BF93" i="1"/>
  <c r="CD100" i="1"/>
  <c r="CC103" i="1"/>
  <c r="CE103" i="1"/>
  <c r="CB103" i="1"/>
  <c r="CE90" i="1"/>
  <c r="CB90" i="1"/>
  <c r="CC90" i="1"/>
  <c r="CC50" i="1"/>
  <c r="CB50" i="1"/>
  <c r="BF38" i="1"/>
  <c r="CD86" i="1"/>
  <c r="CD126" i="1"/>
  <c r="CC40" i="1"/>
  <c r="CE40" i="1"/>
  <c r="CB40" i="1"/>
  <c r="BF103" i="1"/>
  <c r="CD93" i="1"/>
  <c r="CB7" i="1"/>
  <c r="CD7" i="1"/>
  <c r="CB13" i="1"/>
  <c r="CD13" i="1"/>
  <c r="CC83" i="1"/>
  <c r="CB83" i="1"/>
  <c r="CE83" i="1"/>
  <c r="CD83" i="1"/>
  <c r="CC102" i="1"/>
  <c r="CB102" i="1"/>
  <c r="CE102" i="1"/>
  <c r="CD29" i="1"/>
  <c r="CD120" i="1"/>
  <c r="BF131" i="1"/>
  <c r="CD67" i="1"/>
  <c r="CD117" i="1"/>
  <c r="CB125" i="1"/>
  <c r="CC125" i="1"/>
  <c r="BF102" i="1"/>
  <c r="CD10" i="1"/>
  <c r="CD125" i="1"/>
  <c r="CD8" i="1"/>
  <c r="BF73" i="1"/>
  <c r="BF89" i="1"/>
  <c r="CB34" i="1"/>
  <c r="CD34" i="1"/>
  <c r="CC132" i="1"/>
  <c r="CB132" i="1"/>
  <c r="CD73" i="1"/>
  <c r="CD4" i="1"/>
  <c r="CD70" i="1"/>
  <c r="CC20" i="1"/>
  <c r="CB20" i="1"/>
  <c r="CE20" i="1"/>
  <c r="BF18" i="1"/>
  <c r="CB116" i="1"/>
  <c r="CD116" i="1"/>
  <c r="CD18" i="1"/>
  <c r="CC71" i="1"/>
  <c r="CB71" i="1"/>
  <c r="CE71" i="1"/>
  <c r="BF50" i="1"/>
  <c r="BF117" i="1"/>
  <c r="CD103" i="1"/>
  <c r="BF5" i="1"/>
  <c r="CB109" i="1"/>
  <c r="CE109" i="1"/>
  <c r="CC109" i="1"/>
  <c r="CD53" i="1"/>
  <c r="CD79" i="1"/>
  <c r="CD5" i="1"/>
  <c r="BF13" i="1"/>
  <c r="BF10" i="1"/>
  <c r="CE106" i="1"/>
  <c r="CC106" i="1"/>
  <c r="CB106"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tc={65524207-F5CE-4B8E-A0A1-B23E3867538A}</author>
    <author>tc={6EF1D63B-05DC-42D1-A0B4-8B2BFD06E5E0}</author>
    <author>tc={E2F4716F-FCC7-4E5E-932B-157BD446FE6F}</author>
    <author>tc={3178AE2B-01EF-4A2D-93DF-E360CDC93CE7}</author>
    <author>tc={EE079EC0-1B53-46A7-8C99-BEE403902245}</author>
    <author>tc={8C87F092-8FEA-4B0A-B920-9CFAE8A7D57E}</author>
    <author>tc={3D10CC01-2EE1-46F5-BC24-1D9BCC26FB84}</author>
    <author>tc={BC21CCCB-FC79-4866-845E-E36917B3F80C}</author>
    <author>tc={77D49C44-5491-4D76-928D-71E52EC41439}</author>
    <author>tc={82FCCACF-AA63-46AE-85F6-747DF0D13101}</author>
    <author>tc={37191B2E-0246-4728-BA11-925CE92B0363}</author>
    <author>tc={BB462368-D478-4F94-B721-F81BF3FD4017}</author>
    <author>tc={1810C827-C756-4025-B90E-DEC7FD0C2540}</author>
    <author>tc={B5E5833B-F688-46C9-AEBD-3751A9688325}</author>
    <author>tc={AEFFD35F-6ED1-4BE0-8E7B-AD03E745CD90}</author>
    <author>tc={6237D529-079A-4F27-A383-DE6C95871EF3}</author>
    <author>tc={3854551B-49EB-4C86-A423-4BB8482D4497}</author>
    <author>tc={12BA4773-EFCD-46A0-A7F1-D24820B7F8BA}</author>
    <author>tc={54B0EEEE-BDF5-4C3A-904B-E4B28E714961}</author>
    <author>tc={815453BB-EF52-4295-8E4E-E82B9CE0D94F}</author>
    <author>tc={9EE7CD83-F2F4-4B71-AA64-13410FE7025D}</author>
    <author>tc={962B5333-7459-43CB-B4AD-1E48A8818825}</author>
    <author>tc={93B92C99-4C41-4E57-A0FB-EA418DF103B7}</author>
    <author>tc={F7FF22C1-3C2E-4DB2-B696-96F7BE877C3B}</author>
  </authors>
  <commentList>
    <comment ref="Q1" authorId="0" shapeId="0" xr:uid="{65524207-F5CE-4B8E-A0A1-B23E3867538A}">
      <text>
        <t>[Threaded comment]
Your version of Excel allows you to read this threaded comment; however, any edits to it will get removed if the file is opened in a newer version of Excel. Learn more: https://go.microsoft.com/fwlink/?linkid=870924
Comment:
    This variable was dependent on the proportion of seeds used for each crop, and on the space occupied by each crop on the farm, assessed on 1m2. Though planting method is broadcast, e.g. where there was soy+maize, it came to around 1 lines of maize in 2 lines of soy, around 60% of space occupied by soy</t>
      </text>
    </comment>
    <comment ref="AD1" authorId="1" shapeId="0" xr:uid="{6EF1D63B-05DC-42D1-A0B4-8B2BFD06E5E0}">
      <text>
        <t>[Threaded comment]
Your version of Excel allows you to read this threaded comment; however, any edits to it will get removed if the file is opened in a newer version of Excel. Learn more: https://go.microsoft.com/fwlink/?linkid=870924
Comment:
    This is the kgs of seeds of soy the farmer declared used on his farm in total</t>
      </text>
    </comment>
    <comment ref="AE1" authorId="2" shapeId="0" xr:uid="{E2F4716F-FCC7-4E5E-932B-157BD446FE6F}">
      <text>
        <t>[Threaded comment]
Your version of Excel allows you to read this threaded comment; however, any edits to it will get removed if the file is opened in a newer version of Excel. Learn more: https://go.microsoft.com/fwlink/?linkid=870924
Comment:
    This was not very precise from the farmers. Approximations. And others were not giving even the approximation because not knowing</t>
      </text>
    </comment>
    <comment ref="BF1" authorId="3" shapeId="0" xr:uid="{3178AE2B-01EF-4A2D-93DF-E360CDC93CE7}">
      <text>
        <t>[Threaded comment]
Your version of Excel allows you to read this threaded comment; however, any edits to it will get removed if the file is opened in a newer version of Excel. Learn more: https://go.microsoft.com/fwlink/?linkid=870924
Comment:
    Land Equivalent Ratio: Ysic/Ysmc+Yxic/Yxmc. 
We considered only cassava and maize or coffee, whenever it is the crop associated</t>
      </text>
    </comment>
    <comment ref="BY1" authorId="4" shapeId="0" xr:uid="{EE079EC0-1B53-46A7-8C99-BEE403902245}">
      <text>
        <t xml:space="preserve">[Threaded comment]
Your version of Excel allows you to read this threaded comment; however, any edits to it will get removed if the file is opened in a newer version of Excel. Learn more: https://go.microsoft.com/fwlink/?linkid=870924
Comment:
    Using a factor of 1.2105
 from data from Clause, to convert soil organic carbon of 20cm to 30cm in tropical soils. This factor was calculated together with the data from Claude in Kenya in Nitisols 38tCha at20cm and  and with the data of default value from Brazil in ferralsols in Minas Gerais 46tCha at 30cm, in the BRCalc
</t>
      </text>
    </comment>
    <comment ref="BZ1" authorId="5" shapeId="0" xr:uid="{8C87F092-8FEA-4B0A-B920-9CFAE8A7D57E}">
      <text>
        <t xml:space="preserve">[Threaded comment]
Your version of Excel allows you to read this threaded comment; however, any edits to it will get removed if the file is opened in a newer version of Excel. Learn more: https://go.microsoft.com/fwlink/?linkid=870924
Comment:
    Calculation of CF occupation : cgahe of SOC due to occupation Equation 1 in Laurentiis et al. 2024.  Production potential due to occupation. 
CFocc,LUi = SOCref − SOCLUi [tonne C ha−1] : this means if the result is negative, the SOCref is lowe than the SOCLui and it means there was an increase in carbon stock …. 
If we devide this value by 20 years, we get the average annual stock change.  20 years is the time dependence of the stock change factor, i.e., factor represents annual rate of change over 20 years  </t>
      </text>
    </comment>
    <comment ref="CA1" authorId="6" shapeId="0" xr:uid="{3D10CC01-2EE1-46F5-BC24-1D9BCC26FB84}">
      <text>
        <t>[Threaded comment]
Your version of Excel allows you to read this threaded comment; however, any edits to it will get removed if the file is opened in a newer version of Excel. Learn more: https://go.microsoft.com/fwlink/?linkid=870924
Comment:
    These are: Description details for SOC in native vegetations from peer reviewed litterature: :@ 
Topsoil SOC stocks were higher in the mafic region (145.3 +/-30.0 Mg C ha−1) in the trpoical mountain forest: Benjamin Bukombe et al.2022.  in the tropical savanna, it was around 47 in the 0-30cm.</t>
      </text>
    </comment>
    <comment ref="CB1" authorId="7" shapeId="0" xr:uid="{BC21CCCB-FC79-4866-845E-E36917B3F80C}">
      <text>
        <t>[Threaded comment]
Your version of Excel allows you to read this threaded comment; however, any edits to it will get removed if the file is opened in a newer version of Excel. Learn more: https://go.microsoft.com/fwlink/?linkid=870924
Comment:
    Formula: land occupation arable = m2 year/kg soy = 10000/yieldA monocropped +yieldB monocropped * (130x2/365)
 We used the so yield of season A  and B monocropped, as we assume 100% of the area is occupied by soy. We added the two as soy is grown 2 seasons in one year 130days x2. Source Nemecek and Kagi, 2007. Friscknecht et al. 2007</t>
      </text>
    </comment>
    <comment ref="CC1" authorId="8" shapeId="0" xr:uid="{77D49C44-5491-4D76-928D-71E52EC41439}">
      <text>
        <t>[Threaded comment]
Your version of Excel allows you to read this threaded comment; however, any edits to it will get removed if the file is opened in a newer version of Excel. Learn more: https://go.microsoft.com/fwlink/?linkid=870924
Comment:
    Formula: land occupation arable = m2 year/kg soy = 10000/yieldA monocropped +yieldB monocropped * (130x2/365)
 We used the so yield of season A  and B monocropped, as we assume 100% of the area is occupied by soy. We added the two as soy is grown 2 seasons in one year 130days x2. Source Nemecek and Kagi, 2007. Friscknecht et al. 2007</t>
      </text>
    </comment>
    <comment ref="CE1" authorId="9" shapeId="0" xr:uid="{82FCCACF-AA63-46AE-85F6-747DF0D13101}">
      <text>
        <t>[Threaded comment]
Your version of Excel allows you to read this threaded comment; however, any edits to it will get removed if the file is opened in a newer version of Excel. Learn more: https://go.microsoft.com/fwlink/?linkid=870924
Comment:
    The defauolt values of shoot biomass are calculated from the CoolFarmTool.  E.g 800kg/ha has a shootbiomass of 1528kg of above ground biomass ie 1kg of grain harvested has 1.911kg of shoot biomass. Ainsi la conversion: 1.911 x average yield season A and B.
C content of above-ground residues for crop T, kg C (kg d.m.) -1 (Default: 0.42 kg C (kg
d.m.) -1)
soybean shoot biomass: 
Residue amount here is above-ground plant residue and must be entered as "dry weight”. Default values for dry matter weights are provided for most crops. For 1000kg/ha of soybean, the plant residue biomass is of 1911kg/ha (default value in smallholder farming in Africa. SOurce. cool farm tool.
The total kg C in the above ground biomass wound be 0.42*1911kg=802.62kg C in the aboveground biomass, from a harvest of 1000kg grains of soybean.
We used the so yield of season A  and B monocropped, as we assume 100% of the area is occupied by soy. We added the two as soy is grown 2 seasons in one year 130days x2, and did the same to calculate the average yield and biomass</t>
      </text>
    </comment>
    <comment ref="CF1" authorId="10" shapeId="0" xr:uid="{37191B2E-0246-4728-BA11-925CE92B0363}">
      <text>
        <t>[Threaded comment]
Your version of Excel allows you to read this threaded comment; however, any edits to it will get removed if the file is opened in a newer version of Excel. Learn more: https://go.microsoft.com/fwlink/?linkid=870924
Comment:
    This is the estimation of the biomass applied as amendement. To take with big grain of salt (high uncertainty) as sometimes farmers had no precision.</t>
      </text>
    </comment>
    <comment ref="P2" authorId="11" shapeId="0" xr:uid="{BB462368-D478-4F94-B721-F81BF3FD4017}">
      <text>
        <t>[Threaded comment]
Your version of Excel allows you to read this threaded comment; however, any edits to it will get removed if the file is opened in a newer version of Excel. Learn more: https://go.microsoft.com/fwlink/?linkid=870924
Comment:
    When in rotation it is mentionned soybean-soybean, it means that it is a succession and soy is grown twice in a year</t>
      </text>
    </comment>
    <comment ref="Q10" authorId="12" shapeId="0" xr:uid="{1810C827-C756-4025-B90E-DEC7FD0C2540}">
      <text>
        <t>[Threaded comment]
Your version of Excel allows you to read this threaded comment; however, any edits to it will get removed if the file is opened in a newer version of Excel. Learn more: https://go.microsoft.com/fwlink/?linkid=870924
Comment:
    On this plot where soy is associated with maize, we grow two rows of soy between one row of maize. This would give an idea that the soy occupies around 2/3rd or 60% of this area.</t>
      </text>
    </comment>
    <comment ref="BH11" authorId="13" shapeId="0" xr:uid="{B5E5833B-F688-46C9-AEBD-3751A9688325}">
      <text>
        <t>[Threaded comment]
Your version of Excel allows you to read this threaded comment; however, any edits to it will get removed if the file is opened in a newer version of Excel. Learn more: https://go.microsoft.com/fwlink/?linkid=870924
Comment:
    For maize. We sell at 4500fc for 4 kg of maize. Production varies also, but on average 40 mekas on this area here</t>
      </text>
    </comment>
    <comment ref="BD18" authorId="14" shapeId="0" xr:uid="{AEFFD35F-6ED1-4BE0-8E7B-AD03E745CD90}">
      <text>
        <t>[Threaded comment]
Your version of Excel allows you to read this threaded comment; however, any edits to it will get removed if the file is opened in a newer version of Excel. Learn more: https://go.microsoft.com/fwlink/?linkid=870924
Comment:
    maize as the associated crop, we can harvest up to 70 or 75 mekas in A season, and in B, even 40 mekas only.</t>
      </text>
    </comment>
    <comment ref="BH21" authorId="15" shapeId="0" xr:uid="{6237D529-079A-4F27-A383-DE6C95871EF3}">
      <text>
        <t>[Threaded comment]
Your version of Excel allows you to read this threaded comment; however, any edits to it will get removed if the file is opened in a newer version of Excel. Learn more: https://go.microsoft.com/fwlink/?linkid=870924
Comment:
    For maize. We sell at 4500fc for 4 kg of maize. Production varies also, but on average 40 mekas on this area here</t>
      </text>
    </comment>
    <comment ref="BH22" authorId="16" shapeId="0" xr:uid="{3854551B-49EB-4C86-A423-4BB8482D4497}">
      <text>
        <t>[Threaded comment]
Your version of Excel allows you to read this threaded comment; however, any edits to it will get removed if the file is opened in a newer version of Excel. Learn more: https://go.microsoft.com/fwlink/?linkid=870924
Comment:
    For maize. We sell at 4500fc for 4 kg of maize. Production varies also, but on average 40 mekas on this area here</t>
      </text>
    </comment>
    <comment ref="BB23" authorId="17" shapeId="0" xr:uid="{12BA4773-EFCD-46A0-A7F1-D24820B7F8BA}">
      <text>
        <t>[Threaded comment]
Your version of Excel allows you to read this threaded comment; however, any edits to it will get removed if the file is opened in a newer version of Excel. Learn more: https://go.microsoft.com/fwlink/?linkid=870924
Comment:
    # maize =(40*4/$P31)*10000 s= 640kg/ha on average. But maize is not associated, it is rotated</t>
      </text>
    </comment>
    <comment ref="BH23" authorId="18" shapeId="0" xr:uid="{54B0EEEE-BDF5-4C3A-904B-E4B28E714961}">
      <text>
        <t>[Threaded comment]
Your version of Excel allows you to read this threaded comment; however, any edits to it will get removed if the file is opened in a newer version of Excel. Learn more: https://go.microsoft.com/fwlink/?linkid=870924
Comment:
    For maize. We sell at 4500fc for 4 kg of maize. Production varies also, but on average 40 mekas on this area here</t>
      </text>
    </comment>
    <comment ref="BH25" authorId="19" shapeId="0" xr:uid="{815453BB-EF52-4295-8E4E-E82B9CE0D94F}">
      <text>
        <t>[Threaded comment]
Your version of Excel allows you to read this threaded comment; however, any edits to it will get removed if the file is opened in a newer version of Excel. Learn more: https://go.microsoft.com/fwlink/?linkid=870924
Comment:
    For maize. We sell at 4500fc for 4 kg of maize. Production varies also, but on average 40 mekas on this area here</t>
      </text>
    </comment>
    <comment ref="BH45" authorId="20" shapeId="0" xr:uid="{9EE7CD83-F2F4-4B71-AA64-13410FE7025D}">
      <text>
        <t>[Threaded comment]
Your version of Excel allows you to read this threaded comment; however, any edits to it will get removed if the file is opened in a newer version of Excel. Learn more: https://go.microsoft.com/fwlink/?linkid=870924
Comment:
    For maize. We sell at 4500fc for 4 kg of maize. Production varies also, but on average 40 mekas on this area here</t>
      </text>
    </comment>
    <comment ref="BB50" authorId="21" shapeId="0" xr:uid="{962B5333-7459-43CB-B4AD-1E48A8818825}">
      <text>
        <t>[Threaded comment]
Your version of Excel allows you to read this threaded comment; however, any edits to it will get removed if the file is opened in a newer version of Excel. Learn more: https://go.microsoft.com/fwlink/?linkid=870924
Comment:
    To correct: remember this column was labelled: yield of first crop associated</t>
      </text>
    </comment>
    <comment ref="BD50" authorId="22" shapeId="0" xr:uid="{93B92C99-4C41-4E57-A0FB-EA418DF103B7}">
      <text>
        <t xml:space="preserve">[Threaded comment]
Your version of Excel allows you to read this threaded comment; however, any edits to it will get removed if the file is opened in a newer version of Excel. Learn more: https://go.microsoft.com/fwlink/?linkid=870924
Comment:
    To correct: remember this column was labelled: yield of second crop associated
</t>
      </text>
    </comment>
    <comment ref="AD106" authorId="23" shapeId="0" xr:uid="{F7FF22C1-3C2E-4DB2-B696-96F7BE877C3B}">
      <text>
        <t>[Threaded comment]
Your version of Excel allows you to read this threaded comment; however, any edits to it will get removed if the file is opened in a newer version of Excel. Learn more: https://go.microsoft.com/fwlink/?linkid=870924
Comment:
    Il y a un probleme avec cette quantite. le champ est de 50x20 et le soja occupe pres de 20% mais on utilise jusqua 9kg de semence???Impossible</t>
      </text>
    </comment>
  </commentList>
</comments>
</file>

<file path=xl/sharedStrings.xml><?xml version="1.0" encoding="utf-8"?>
<sst xmlns="http://schemas.openxmlformats.org/spreadsheetml/2006/main" count="6097" uniqueCount="836">
  <si>
    <t>Code_no</t>
  </si>
  <si>
    <t>Id_farmer/Sample id</t>
  </si>
  <si>
    <t>Cluster</t>
  </si>
  <si>
    <t>Latitude_DD</t>
  </si>
  <si>
    <t>Longitude_DD</t>
  </si>
  <si>
    <t>Altitude_m</t>
  </si>
  <si>
    <t>Province</t>
  </si>
  <si>
    <t>Territory</t>
  </si>
  <si>
    <t>Age</t>
  </si>
  <si>
    <t>Sexe</t>
  </si>
  <si>
    <t>CropsSeasonA</t>
  </si>
  <si>
    <t>CropsSeasonB</t>
  </si>
  <si>
    <t>Area_total_ha</t>
  </si>
  <si>
    <t>Area_soy_ha</t>
  </si>
  <si>
    <t>Soy_associated_x_y</t>
  </si>
  <si>
    <t>Rotation_seasonA-seasonB</t>
  </si>
  <si>
    <t>Percent_soja_inassociation_%area</t>
  </si>
  <si>
    <t>Date_sowingA</t>
  </si>
  <si>
    <t>Date_sowingB</t>
  </si>
  <si>
    <t>previous_crops</t>
  </si>
  <si>
    <t>neighbor_crops</t>
  </si>
  <si>
    <t>soil_ploughing_y_n</t>
  </si>
  <si>
    <t>Ploughing_depth_cm</t>
  </si>
  <si>
    <t>Mecanisation_y_n</t>
  </si>
  <si>
    <t>weed_control</t>
  </si>
  <si>
    <t>Weeding_frequency</t>
  </si>
  <si>
    <t>Seeds_names</t>
  </si>
  <si>
    <t>Seeds_origin</t>
  </si>
  <si>
    <t>Inoculation</t>
  </si>
  <si>
    <t>Seed quantity(kg seed/area of soy)</t>
  </si>
  <si>
    <t>seeds_kg_ha</t>
  </si>
  <si>
    <t>Mulching_y_n</t>
  </si>
  <si>
    <t>weeding_method</t>
  </si>
  <si>
    <t>Maladies/insectes/ravageurs observées</t>
  </si>
  <si>
    <t>Traitement contre maladies</t>
  </si>
  <si>
    <t>fertiliser_name</t>
  </si>
  <si>
    <t>quantity_fertilizer_kg_ha</t>
  </si>
  <si>
    <t>Origine</t>
  </si>
  <si>
    <t xml:space="preserve"> Frequence_application_nbre_yr</t>
  </si>
  <si>
    <t>Application_method</t>
  </si>
  <si>
    <t>Composition_npk</t>
  </si>
  <si>
    <t>Soil_type_localName</t>
  </si>
  <si>
    <t>Soil_preference_forSoybean</t>
  </si>
  <si>
    <t>slope_percent</t>
  </si>
  <si>
    <t>Erosion_present_y_n</t>
  </si>
  <si>
    <t>Erosion_control</t>
  </si>
  <si>
    <t>Drought_pest_losses?</t>
  </si>
  <si>
    <t>harvest_method</t>
  </si>
  <si>
    <t>biomass_treatment</t>
  </si>
  <si>
    <t>soy_yieldA_Int_kg_ha</t>
  </si>
  <si>
    <t>soy_yieldB_Int_kg_ha</t>
  </si>
  <si>
    <t>soy_yieldA_monocr_kg_ha</t>
  </si>
  <si>
    <t>soy_yieldB_monocr_kg_ha</t>
  </si>
  <si>
    <t>cassava_yield_Int_kg_ha</t>
  </si>
  <si>
    <t>cassava_yield_monoc_kg_ha</t>
  </si>
  <si>
    <t>maize_yield_Int_kg_ha</t>
  </si>
  <si>
    <t>maize_yield_monoc_kg_ha</t>
  </si>
  <si>
    <t>LER</t>
  </si>
  <si>
    <t>Soy_price_Franc_kg</t>
  </si>
  <si>
    <t>maize_price_Franc_kg</t>
  </si>
  <si>
    <t>Cassava_price_Franc_kg</t>
  </si>
  <si>
    <t>Destination_soybean</t>
  </si>
  <si>
    <t>transport_mean</t>
  </si>
  <si>
    <t>humidity_grains</t>
  </si>
  <si>
    <t>Drying_method</t>
  </si>
  <si>
    <t>price_setter</t>
  </si>
  <si>
    <t>FOmember</t>
  </si>
  <si>
    <t>FO_name</t>
  </si>
  <si>
    <t>ValueChain</t>
  </si>
  <si>
    <t>pH_H2O</t>
  </si>
  <si>
    <t>Nitrogen_percent</t>
  </si>
  <si>
    <t>clay</t>
  </si>
  <si>
    <t>silt</t>
  </si>
  <si>
    <t>sand</t>
  </si>
  <si>
    <t>textural_class_USDA</t>
  </si>
  <si>
    <t>SOCref_tC_ha_30cm_IPCC</t>
  </si>
  <si>
    <t>SOClu2_tC_ha_30cm</t>
  </si>
  <si>
    <t>CFoccupation_ΔC_tC_ha</t>
  </si>
  <si>
    <t>SOCref_litterature</t>
  </si>
  <si>
    <t>Land_occup_seasonA_m2yrkgsoy</t>
  </si>
  <si>
    <t>Land_occup_seasonB_m2yrkgsoy</t>
  </si>
  <si>
    <t>seeds_kgperkgsoy</t>
  </si>
  <si>
    <t>shoot_biomass_kgha_seasonAandB</t>
  </si>
  <si>
    <t>Biomass_applied_amendment_kg_onsoyarea_seasonA</t>
  </si>
  <si>
    <t>Biomass_applied_amendment_kgperkgsoy_seasonA</t>
  </si>
  <si>
    <t>Biomass_applied_amendment_kgha_seasonsAB</t>
  </si>
  <si>
    <t>KasTsh1/K1</t>
  </si>
  <si>
    <t>cluster1</t>
  </si>
  <si>
    <t>KasaiLomami</t>
  </si>
  <si>
    <t>Tshilenge</t>
  </si>
  <si>
    <t>NA</t>
  </si>
  <si>
    <t>F</t>
  </si>
  <si>
    <t>soybean</t>
  </si>
  <si>
    <t>soybean-soybean</t>
  </si>
  <si>
    <t>cassava, maize</t>
  </si>
  <si>
    <t>yes</t>
  </si>
  <si>
    <t>non</t>
  </si>
  <si>
    <t>burn grass before planting, then we weed manually</t>
  </si>
  <si>
    <t>unknown, mixted</t>
  </si>
  <si>
    <t>local market, and previous harvest</t>
  </si>
  <si>
    <t>no</t>
  </si>
  <si>
    <t>manual</t>
  </si>
  <si>
    <t>not observed</t>
  </si>
  <si>
    <t>-</t>
  </si>
  <si>
    <t>Tshiyoku (=soils of the valey)</t>
  </si>
  <si>
    <t xml:space="preserve"> uprooted manualy and taken home for beating</t>
  </si>
  <si>
    <t>thrown away around house or burnt</t>
  </si>
  <si>
    <t>Household (Mabulu)</t>
  </si>
  <si>
    <t>namual. Humans and bicycles. Moved from field to home, around 2km from the field</t>
  </si>
  <si>
    <t>sun, drying on the field</t>
  </si>
  <si>
    <t>market</t>
  </si>
  <si>
    <t>UADAT</t>
  </si>
  <si>
    <t>VC2</t>
  </si>
  <si>
    <t>loamy sand</t>
  </si>
  <si>
    <t>KasTsh2/K2</t>
  </si>
  <si>
    <t>M</t>
  </si>
  <si>
    <t>maize, soybean</t>
  </si>
  <si>
    <t>soybea-soybean</t>
  </si>
  <si>
    <t>cassava, maize, cowpea</t>
  </si>
  <si>
    <t>not observed, some isnects and yellowish color of leaves during growth, not nothing is done</t>
  </si>
  <si>
    <t>Organic fertilizer (bat and goat guano)</t>
  </si>
  <si>
    <t>16 kg for 25x50m</t>
  </si>
  <si>
    <t>house with bats and goats</t>
  </si>
  <si>
    <t>spreading</t>
  </si>
  <si>
    <t>to check online</t>
  </si>
  <si>
    <t>The biomass of leftover is thrown away around the house</t>
  </si>
  <si>
    <t>local market. For human consuption (Mabulu)</t>
  </si>
  <si>
    <t>TUJUKAYI</t>
  </si>
  <si>
    <t>KasTsh3/K3</t>
  </si>
  <si>
    <t>soybean, maize, mangoes and palm oil trees in between</t>
  </si>
  <si>
    <t xml:space="preserve">houses, maize, </t>
  </si>
  <si>
    <t>thrown away or burnt</t>
  </si>
  <si>
    <t>Not member</t>
  </si>
  <si>
    <t>KasNga4/K4</t>
  </si>
  <si>
    <t>cluster2</t>
  </si>
  <si>
    <t>Ngandajika</t>
  </si>
  <si>
    <t>soybean +groundnuts+maize</t>
  </si>
  <si>
    <t>soybean +maize</t>
  </si>
  <si>
    <t>soybean, maize</t>
  </si>
  <si>
    <t>groundnuts, maize</t>
  </si>
  <si>
    <t>soybean, groundnuts, maize</t>
  </si>
  <si>
    <t>similar, plus fields in fallow</t>
  </si>
  <si>
    <t>local market</t>
  </si>
  <si>
    <t>Bulaba bwa lusenga (a soil with so much sand)</t>
  </si>
  <si>
    <t>Yes, sometimes exces of water in march or lack of water in january can sometimes affect yield</t>
  </si>
  <si>
    <t>Disciple OZANA</t>
  </si>
  <si>
    <t>VC1</t>
  </si>
  <si>
    <t>KasNga5</t>
  </si>
  <si>
    <t>beans, niebe</t>
  </si>
  <si>
    <t>soybean-beans/cowpea</t>
  </si>
  <si>
    <t>similar, but much mixed</t>
  </si>
  <si>
    <t>previous harvest</t>
  </si>
  <si>
    <t>don't know</t>
  </si>
  <si>
    <t>thrown away around the houses</t>
  </si>
  <si>
    <t>KasNga6</t>
  </si>
  <si>
    <t>soybean, maize, cowpea</t>
  </si>
  <si>
    <t>bulaba (soil)</t>
  </si>
  <si>
    <t>thrown away</t>
  </si>
  <si>
    <t>KasNga7</t>
  </si>
  <si>
    <t>fallow</t>
  </si>
  <si>
    <t>grass, maize</t>
  </si>
  <si>
    <t>any</t>
  </si>
  <si>
    <t>low, no erosion</t>
  </si>
  <si>
    <t>silt loam</t>
  </si>
  <si>
    <t>KasNga8</t>
  </si>
  <si>
    <t>similaire</t>
  </si>
  <si>
    <t>manual weeding</t>
  </si>
  <si>
    <t>burnt as energy source</t>
  </si>
  <si>
    <t>loam</t>
  </si>
  <si>
    <t>KasNga10</t>
  </si>
  <si>
    <t>soybean, maize, solanum (potatoes), cowpea and cassava</t>
  </si>
  <si>
    <t>soybean, maize and cassava</t>
  </si>
  <si>
    <t>soybean-maize</t>
  </si>
  <si>
    <t>soybean,maize, cassava</t>
  </si>
  <si>
    <t>maize,cassava</t>
  </si>
  <si>
    <t>not observed, and some insects that nothing is done against</t>
  </si>
  <si>
    <t>Bulaba, my soil is a bit resistant, compacted somehow..</t>
  </si>
  <si>
    <t>namual. Humans and bicycles. Moved from field to home, around 3km from the field</t>
  </si>
  <si>
    <t>KasNga11</t>
  </si>
  <si>
    <t>soybean, maize, cassava, cowpea</t>
  </si>
  <si>
    <t>maize, cassava, cowpea</t>
  </si>
  <si>
    <t>soybean-maize-cassava</t>
  </si>
  <si>
    <t>maize</t>
  </si>
  <si>
    <t>maize, cassava</t>
  </si>
  <si>
    <t>manual land clearing of grass, then manual weeding</t>
  </si>
  <si>
    <t xml:space="preserve"> uprooted manually and taken home for beating</t>
  </si>
  <si>
    <t>burnt at the house</t>
  </si>
  <si>
    <t>local market, for mainly human consumption</t>
  </si>
  <si>
    <t>manual and bicycle. Farm at around 100m from the field</t>
  </si>
  <si>
    <t>KasNga12</t>
  </si>
  <si>
    <t>soybean, maize, cassaca, cowpea</t>
  </si>
  <si>
    <t>fertile soil</t>
  </si>
  <si>
    <t>clay loam</t>
  </si>
  <si>
    <t>KasNga13</t>
  </si>
  <si>
    <t>soybean, cassava, maize</t>
  </si>
  <si>
    <t>soybean-maize then pure soybean</t>
  </si>
  <si>
    <t xml:space="preserve">maize grown alone </t>
  </si>
  <si>
    <t>no, but use animal (cows) for ploughing with</t>
  </si>
  <si>
    <t>not observed, only some yellowing leaves during growth, but of which we don’t do any diagnostic nor any application</t>
  </si>
  <si>
    <t>KasNga14</t>
  </si>
  <si>
    <t>maize, cassava, cowpea, soybean</t>
  </si>
  <si>
    <t>maize, cassava, soybean</t>
  </si>
  <si>
    <t>soyean-maize</t>
  </si>
  <si>
    <t>maize,c assava</t>
  </si>
  <si>
    <t>low, no erosion only on the sides of the plots</t>
  </si>
  <si>
    <t>yes, severe</t>
  </si>
  <si>
    <t>thrown away around the house</t>
  </si>
  <si>
    <t>KasNga15</t>
  </si>
  <si>
    <t>maize, cassava soybean</t>
  </si>
  <si>
    <t>local market and previous harvest</t>
  </si>
  <si>
    <t>unknown</t>
  </si>
  <si>
    <t>KasNga16</t>
  </si>
  <si>
    <t>maize, cassava,soybean, cowpea</t>
  </si>
  <si>
    <t>soybean, maize,cassava</t>
  </si>
  <si>
    <t>soybean, maize, cassava</t>
  </si>
  <si>
    <t>pas observee, and some insects that nothing is done against</t>
  </si>
  <si>
    <t>any, just what we have</t>
  </si>
  <si>
    <t>KasNga17</t>
  </si>
  <si>
    <t>soybean-maize pure then soybean</t>
  </si>
  <si>
    <t>KasNga18</t>
  </si>
  <si>
    <t>maize, cassava, soybean, cowpea</t>
  </si>
  <si>
    <t>manual, farm at 1.5km from house</t>
  </si>
  <si>
    <t>KasNga19</t>
  </si>
  <si>
    <t>Maize, Soybean</t>
  </si>
  <si>
    <t>grass, maize,</t>
  </si>
  <si>
    <t>local market of Ngandajika. For human consuption (Mabulu)</t>
  </si>
  <si>
    <t>KasNga20</t>
  </si>
  <si>
    <t>maize,cowpea</t>
  </si>
  <si>
    <t>soybean-cowpea</t>
  </si>
  <si>
    <t>Maize</t>
  </si>
  <si>
    <t>local market ,for human consuption (Mabulu)</t>
  </si>
  <si>
    <t>KasNga21</t>
  </si>
  <si>
    <t>maize, cassava,soybean</t>
  </si>
  <si>
    <t>soy, cassava</t>
  </si>
  <si>
    <t>soybean, cassava</t>
  </si>
  <si>
    <t>soybean-cowpea/maize</t>
  </si>
  <si>
    <t>Maize, cassava, cowpea, groundnuts</t>
  </si>
  <si>
    <t>not observed. Only some yellowing leaving s during growth</t>
  </si>
  <si>
    <t>Bulaba</t>
  </si>
  <si>
    <t xml:space="preserve">Yes, </t>
  </si>
  <si>
    <t>manual, bicycle pushed, 1 km from the house</t>
  </si>
  <si>
    <t>KasNga22</t>
  </si>
  <si>
    <t>maize, soybean, cassava, cowpea</t>
  </si>
  <si>
    <t>Not observed, and some insects that nothing is done against</t>
  </si>
  <si>
    <t>Bulaba (= soil). Our soil seem to be fertile</t>
  </si>
  <si>
    <t>yes, exces of rain also</t>
  </si>
  <si>
    <t>KasNga23</t>
  </si>
  <si>
    <t>maize, cassava,cowpea</t>
  </si>
  <si>
    <t>soy, maize</t>
  </si>
  <si>
    <t>soy</t>
  </si>
  <si>
    <t>soy-cowpea/beans</t>
  </si>
  <si>
    <t>maize, cowpea</t>
  </si>
  <si>
    <t>less sandy</t>
  </si>
  <si>
    <t>KasNga24</t>
  </si>
  <si>
    <t>no, but use animal (cows) for ploughing with sometimes</t>
  </si>
  <si>
    <t>not observed, some insects and yellowish color of leaves during growth, not nothing is done</t>
  </si>
  <si>
    <t>The biomass of leftover is thrown away around the house farm</t>
  </si>
  <si>
    <t>bicycle, house at 1 km from the farm</t>
  </si>
  <si>
    <t>sun, drying on the field and at home</t>
  </si>
  <si>
    <t>KasNga25</t>
  </si>
  <si>
    <t>slight slope</t>
  </si>
  <si>
    <t>KasNga26</t>
  </si>
  <si>
    <t>soy,cassava,maize</t>
  </si>
  <si>
    <t>cassava,maize</t>
  </si>
  <si>
    <t>cassava</t>
  </si>
  <si>
    <t>KasNga27</t>
  </si>
  <si>
    <t xml:space="preserve">maize, cassava, soybean </t>
  </si>
  <si>
    <t>soy, maize, cassava</t>
  </si>
  <si>
    <t>fallow grass</t>
  </si>
  <si>
    <t>KasNga28</t>
  </si>
  <si>
    <t>fallow grass, cassava</t>
  </si>
  <si>
    <t xml:space="preserve">a little </t>
  </si>
  <si>
    <t>KasNga29</t>
  </si>
  <si>
    <t xml:space="preserve">soybean, cassava,vigna radiata </t>
  </si>
  <si>
    <t>cowpea, cassava</t>
  </si>
  <si>
    <t>KasNga30</t>
  </si>
  <si>
    <t>KasNga31</t>
  </si>
  <si>
    <t>KasNga32</t>
  </si>
  <si>
    <t>soy, maize, cowpea</t>
  </si>
  <si>
    <t>cowpea,maize</t>
  </si>
  <si>
    <t>soybean-cowpe</t>
  </si>
  <si>
    <t>KasNga33</t>
  </si>
  <si>
    <t>unknown, mixed</t>
  </si>
  <si>
    <t>KasNga34</t>
  </si>
  <si>
    <t>cassava, cowpea, maize</t>
  </si>
  <si>
    <t>KasNga35</t>
  </si>
  <si>
    <t>soy,maize,cassava</t>
  </si>
  <si>
    <t>cowpea,cassava</t>
  </si>
  <si>
    <t>KasNga36</t>
  </si>
  <si>
    <t>KasNga37</t>
  </si>
  <si>
    <t>KasNga38</t>
  </si>
  <si>
    <t>burn grass before planting, then manual weeding</t>
  </si>
  <si>
    <t xml:space="preserve">low, </t>
  </si>
  <si>
    <t>only a little at the edge of the area..</t>
  </si>
  <si>
    <t>KasNga39</t>
  </si>
  <si>
    <t>KasNga40</t>
  </si>
  <si>
    <t>soybean-cassava</t>
  </si>
  <si>
    <t>KasNga41</t>
  </si>
  <si>
    <t>02/0/2024</t>
  </si>
  <si>
    <t xml:space="preserve">Maïs manioc et le niebe </t>
  </si>
  <si>
    <t xml:space="preserve">Une petite quantité consommée et la grande partie vendue pour subvenir aux besoins de la famille </t>
  </si>
  <si>
    <t>KasNga42/K41</t>
  </si>
  <si>
    <t>soybean , maize</t>
  </si>
  <si>
    <t>soybean,maize</t>
  </si>
  <si>
    <t xml:space="preserve">Manioc, maïs,, niebe </t>
  </si>
  <si>
    <t xml:space="preserve">Une petite quantité consommée et la grande partie vendue </t>
  </si>
  <si>
    <t>KasTsh4/K42</t>
  </si>
  <si>
    <t xml:space="preserve">Maïs, niebe </t>
  </si>
  <si>
    <t>maize-soybean</t>
  </si>
  <si>
    <t>Maïs, manioc,niebe</t>
  </si>
  <si>
    <t>KasTsh5/K43</t>
  </si>
  <si>
    <t>Maïs, Manioc, niebe, soybean</t>
  </si>
  <si>
    <t xml:space="preserve">Maïs, manioc, niebe </t>
  </si>
  <si>
    <t>KasNga43/K44</t>
  </si>
  <si>
    <t>KasNga44/K45</t>
  </si>
  <si>
    <t>KasNga45/K46</t>
  </si>
  <si>
    <t>KasNga46/K47</t>
  </si>
  <si>
    <t>KasTsh6/K48</t>
  </si>
  <si>
    <t>SkBir1/B1</t>
  </si>
  <si>
    <t>South Kivu</t>
  </si>
  <si>
    <t>Kabare</t>
  </si>
  <si>
    <t>soybean, cassava, coffee</t>
  </si>
  <si>
    <t>soybean-beans</t>
  </si>
  <si>
    <t>beans, cassava, coffee</t>
  </si>
  <si>
    <t>oui</t>
  </si>
  <si>
    <t>PK06 et Imperial melangés</t>
  </si>
  <si>
    <t>recolte précedente</t>
  </si>
  <si>
    <t>pas observee</t>
  </si>
  <si>
    <t>engrais organique de compostiere familiale et residu de culture</t>
  </si>
  <si>
    <t>inconnue</t>
  </si>
  <si>
    <t>champ et maison</t>
  </si>
  <si>
    <t>epandage</t>
  </si>
  <si>
    <t>kanombe</t>
  </si>
  <si>
    <t>reorientation , canalisation de l'eau au sommet</t>
  </si>
  <si>
    <t>oui, de fois a cause de l'erosion</t>
  </si>
  <si>
    <t>manuel, arrachage de la plantule</t>
  </si>
  <si>
    <t>enfouis lors du labour</t>
  </si>
  <si>
    <t>local et bukavu</t>
  </si>
  <si>
    <t>manuel puis boat</t>
  </si>
  <si>
    <t>CLD Birava</t>
  </si>
  <si>
    <t>VC5</t>
  </si>
  <si>
    <t>silty clay</t>
  </si>
  <si>
    <t>SkBir2/B2</t>
  </si>
  <si>
    <t>soybean, beans, cassava, coffee</t>
  </si>
  <si>
    <t>beans-soybean</t>
  </si>
  <si>
    <t>engrais organique de compostiere familiale et residu de culture. Tres faible quantite disponible chaque annee</t>
  </si>
  <si>
    <t>plat</t>
  </si>
  <si>
    <t xml:space="preserve">aucune mesure </t>
  </si>
  <si>
    <t xml:space="preserve">oui, à cause de la sécheresse et des insectes </t>
  </si>
  <si>
    <t xml:space="preserve">entassée dans le champ puis enfouis au sol </t>
  </si>
  <si>
    <t>au soleil, dans le champ et a la maison</t>
  </si>
  <si>
    <r>
      <t>SKBir3/</t>
    </r>
    <r>
      <rPr>
        <b/>
        <sz val="11"/>
        <rFont val="Calibri"/>
        <family val="2"/>
        <scheme val="minor"/>
      </rPr>
      <t>3</t>
    </r>
  </si>
  <si>
    <t xml:space="preserve">soybean, maize, cassava, beans </t>
  </si>
  <si>
    <t>soybean, cassava, beans, maize</t>
  </si>
  <si>
    <t>soybean, cassava, beans, maiis,</t>
  </si>
  <si>
    <t>aucune mesure</t>
  </si>
  <si>
    <t xml:space="preserve">pertes due aux insectes </t>
  </si>
  <si>
    <t xml:space="preserve">manuelle, arachage de toute la plante </t>
  </si>
  <si>
    <t xml:space="preserve">le maize vendu récolté vendu à 50000fc + autoconsommation </t>
  </si>
  <si>
    <t xml:space="preserve">manuel </t>
  </si>
  <si>
    <t xml:space="preserve">au soleil à la maison </t>
  </si>
  <si>
    <t>SkBir4</t>
  </si>
  <si>
    <t>soybean, cassava, beans</t>
  </si>
  <si>
    <t>soybean,cassava</t>
  </si>
  <si>
    <t>soybean,cassava, beans</t>
  </si>
  <si>
    <t>cassava, beans</t>
  </si>
  <si>
    <t>inconnu</t>
  </si>
  <si>
    <t>maison</t>
  </si>
  <si>
    <t>kalongo</t>
  </si>
  <si>
    <t>abandonnée dans le champ apès abattage</t>
  </si>
  <si>
    <t xml:space="preserve">local </t>
  </si>
  <si>
    <t>VC7</t>
  </si>
  <si>
    <t>SkBir5</t>
  </si>
  <si>
    <t>soybean-cassava-beans-coffee</t>
  </si>
  <si>
    <t>Observe jaunissement et brulures des feuilles de fois</t>
  </si>
  <si>
    <t>Dechets menagers. Pas de compostiere ni d'animaux.Achat occasionel des compost aupres des autres.</t>
  </si>
  <si>
    <t>mixte</t>
  </si>
  <si>
    <t>n'importe quel type</t>
  </si>
  <si>
    <t>canalisation en dehors du champ</t>
  </si>
  <si>
    <t>oui, de fois suite a la secheresse</t>
  </si>
  <si>
    <t>tasser puis incorporer au sol si si la biomasse est restee au champ</t>
  </si>
  <si>
    <t>coffee parche: 1kg: 1860fc</t>
  </si>
  <si>
    <t>local</t>
  </si>
  <si>
    <t>manuel</t>
  </si>
  <si>
    <t>au soleil, dans le champ</t>
  </si>
  <si>
    <t>SkBir6</t>
  </si>
  <si>
    <t>soybean,maize,cassava</t>
  </si>
  <si>
    <t xml:space="preserve">soybean,cassava, maize </t>
  </si>
  <si>
    <t xml:space="preserve">Ecalyptus </t>
  </si>
  <si>
    <t>imperial et autre variété mixte</t>
  </si>
  <si>
    <t>compost</t>
  </si>
  <si>
    <t xml:space="preserve">compostière familiale </t>
  </si>
  <si>
    <t xml:space="preserve">kanombe </t>
  </si>
  <si>
    <t>pente faible à forte</t>
  </si>
  <si>
    <t xml:space="preserve">pratique des petits sillons manuels </t>
  </si>
  <si>
    <t xml:space="preserve">mise dans la compostière après abattage à la maison </t>
  </si>
  <si>
    <t>cassava farine.  1kg : 1500fc</t>
  </si>
  <si>
    <t xml:space="preserve">au soleil, dans le champ et à la maison </t>
  </si>
  <si>
    <t>SkBir7</t>
  </si>
  <si>
    <t xml:space="preserve">soybean,cassava,maize </t>
  </si>
  <si>
    <t>soybean,cassava,maize</t>
  </si>
  <si>
    <t xml:space="preserve">aucune culture ; c'est le lac </t>
  </si>
  <si>
    <t xml:space="preserve">jaunissement des feuilles </t>
  </si>
  <si>
    <t>compostière familiale</t>
  </si>
  <si>
    <t>aucune préference</t>
  </si>
  <si>
    <t xml:space="preserve">aucune lutte antiérosive; seulement quelques arbres dans le champ mais pas très effectif </t>
  </si>
  <si>
    <t xml:space="preserve">oui à cause de l'érosion et la sécheresse </t>
  </si>
  <si>
    <t>SkBir8</t>
  </si>
  <si>
    <t>soybean,patate douce</t>
  </si>
  <si>
    <t>precedent harvest</t>
  </si>
  <si>
    <t xml:space="preserve">maison </t>
  </si>
  <si>
    <t>oui, à cause de la secheresse. Les oiseaux arrachent les radicelles</t>
  </si>
  <si>
    <t xml:space="preserve">patate douce. Récolte vendue à 70000fc </t>
  </si>
  <si>
    <t>SkBir9</t>
  </si>
  <si>
    <t>beans, cassava</t>
  </si>
  <si>
    <t>beans</t>
  </si>
  <si>
    <t>oui, à cause de la sécheresse</t>
  </si>
  <si>
    <t>beans. Prix de vente inconnu</t>
  </si>
  <si>
    <t>silt clay</t>
  </si>
  <si>
    <t>SkBir10</t>
  </si>
  <si>
    <t>beans,cassava</t>
  </si>
  <si>
    <t>patate douce</t>
  </si>
  <si>
    <t>cassava,soybean</t>
  </si>
  <si>
    <t xml:space="preserve">maison, trou à ordure </t>
  </si>
  <si>
    <t>chivu</t>
  </si>
  <si>
    <t>fossée de garde dans le champ</t>
  </si>
  <si>
    <t>cassava farine.  1kg : 1400fc</t>
  </si>
  <si>
    <t>SkBir11</t>
  </si>
  <si>
    <t>cassava,soybean,patate douce</t>
  </si>
  <si>
    <t>precedent harvest, marché</t>
  </si>
  <si>
    <t>oui, à cause de la sécheresse et de l'érosion</t>
  </si>
  <si>
    <t>SkBir12</t>
  </si>
  <si>
    <t>oui, à cause de la sécheresse, érision et insectes</t>
  </si>
  <si>
    <t>aucun</t>
  </si>
  <si>
    <t>Bukavu</t>
  </si>
  <si>
    <t>boat</t>
  </si>
  <si>
    <t>SkBir13</t>
  </si>
  <si>
    <t xml:space="preserve">beans, cassava, maize </t>
  </si>
  <si>
    <t>local et Bukavu</t>
  </si>
  <si>
    <t>SkBir14/B14</t>
  </si>
  <si>
    <t>coffee,beans,soybean</t>
  </si>
  <si>
    <t>impérial</t>
  </si>
  <si>
    <t xml:space="preserve">engrais organiques à déjection des chèvres et dindes </t>
  </si>
  <si>
    <t>manuel puis moto</t>
  </si>
  <si>
    <t>SkBir15/B15</t>
  </si>
  <si>
    <t>soybean,beans,cassava</t>
  </si>
  <si>
    <t>muziko</t>
  </si>
  <si>
    <t xml:space="preserve">oui, à cause de la sécheresse </t>
  </si>
  <si>
    <t>SkBir16</t>
  </si>
  <si>
    <t>soybean, beans</t>
  </si>
  <si>
    <t>soybean,beans</t>
  </si>
  <si>
    <t xml:space="preserve">inconnue </t>
  </si>
  <si>
    <t>beans 1kg = 4000fc</t>
  </si>
  <si>
    <t>silty clay loam</t>
  </si>
  <si>
    <t>SkBir17/B17</t>
  </si>
  <si>
    <t>soybeans,maize,cassava,beans</t>
  </si>
  <si>
    <t>soybean,sorgho,cassava</t>
  </si>
  <si>
    <t>soybean,beans,sorgho</t>
  </si>
  <si>
    <t>Muziko</t>
  </si>
  <si>
    <t>SkBir18</t>
  </si>
  <si>
    <t>soybean,beans, cassava</t>
  </si>
  <si>
    <t>soybean,cassava,beans</t>
  </si>
  <si>
    <t>cassava et soybean</t>
  </si>
  <si>
    <t>cassava, soybean, bananier</t>
  </si>
  <si>
    <t>oui,à cause de la sécheresse</t>
  </si>
  <si>
    <t>cassava farine.  1kg : 1400fc, 1kg sorgho = 700fc</t>
  </si>
  <si>
    <t>SkBir19/B19</t>
  </si>
  <si>
    <t>cassava, soybean</t>
  </si>
  <si>
    <t>SkBir20</t>
  </si>
  <si>
    <t>Chivu</t>
  </si>
  <si>
    <t>SkBir21/B21</t>
  </si>
  <si>
    <t>soybean,cassava,arachide</t>
  </si>
  <si>
    <t>soybean,cassava, sorgho</t>
  </si>
  <si>
    <t>SkBir23</t>
  </si>
  <si>
    <t>beans,cassava,maize</t>
  </si>
  <si>
    <t>beans, maize</t>
  </si>
  <si>
    <t>arbre antiérosive sur le champ</t>
  </si>
  <si>
    <t>oui,à cause de l'érosion</t>
  </si>
  <si>
    <t>SkBir25</t>
  </si>
  <si>
    <t>cassava,soybean, beans</t>
  </si>
  <si>
    <t>precedent harvest,IITA 2016</t>
  </si>
  <si>
    <t>civu</t>
  </si>
  <si>
    <t>arbre antiérosive  et fossés de garde sur le champ</t>
  </si>
  <si>
    <t>oui, à cause de la sécheresse et érosion</t>
  </si>
  <si>
    <t>SkBir26</t>
  </si>
  <si>
    <t>soybean,cassava,beans,sorgho</t>
  </si>
  <si>
    <t>beans, sorgho, cassava, bananier, grevillea</t>
  </si>
  <si>
    <t>SkBir27</t>
  </si>
  <si>
    <t>soybean,cassava, maize, patate douce, colcase</t>
  </si>
  <si>
    <t>cassava,beans, patate douce</t>
  </si>
  <si>
    <t>impérial, Choya</t>
  </si>
  <si>
    <t>méthode de lutte antiérosive du champ du voisin</t>
  </si>
  <si>
    <t>oui, à cause de la sécheresse et insectes</t>
  </si>
  <si>
    <t>SkBir28</t>
  </si>
  <si>
    <t>soybean,cassava, patate douce</t>
  </si>
  <si>
    <t>soybean,cassava,patate douce,bananier</t>
  </si>
  <si>
    <t>Kanombe</t>
  </si>
  <si>
    <t xml:space="preserve">fossé de garde </t>
  </si>
  <si>
    <t>SkBir29</t>
  </si>
  <si>
    <t>soybean, beans, bananier</t>
  </si>
  <si>
    <t>oui, à cause des insectes</t>
  </si>
  <si>
    <t>1kg beans = 4000fc</t>
  </si>
  <si>
    <t>SkBir30</t>
  </si>
  <si>
    <t xml:space="preserve">beans,cassava,maize </t>
  </si>
  <si>
    <t>soybean,sorgho, cassava</t>
  </si>
  <si>
    <t>coffee, beans, grevillea</t>
  </si>
  <si>
    <t>greville comme arbre de lutte antiérosive, rigoles d'orientation des eaux</t>
  </si>
  <si>
    <t>SkBir31</t>
  </si>
  <si>
    <t>soybean, cassava,colcase</t>
  </si>
  <si>
    <t>soybean,cassava,beans, colcase</t>
  </si>
  <si>
    <t>soybean,colcase</t>
  </si>
  <si>
    <t>cassava,soybean,beans</t>
  </si>
  <si>
    <t>arbres antiérosive sur le champ</t>
  </si>
  <si>
    <t>SkBir32</t>
  </si>
  <si>
    <t>kabumbe</t>
  </si>
  <si>
    <t>faible pente (5)</t>
  </si>
  <si>
    <t>Mudaka</t>
  </si>
  <si>
    <t>SkBir33</t>
  </si>
  <si>
    <t>soybean, beans, bananier, coffee</t>
  </si>
  <si>
    <t>soybean, beans, coffee</t>
  </si>
  <si>
    <t>canne a sucre</t>
  </si>
  <si>
    <t>beans: ne vend pas ca, consommation familiale</t>
  </si>
  <si>
    <t>SkBir34</t>
  </si>
  <si>
    <t>rats,</t>
  </si>
  <si>
    <t>maison et champs</t>
  </si>
  <si>
    <t>SkBir35</t>
  </si>
  <si>
    <t>bean,cassava,maize</t>
  </si>
  <si>
    <t>oui, à cause de la sécheresse. S;il y a carence de precipataions lors de remplisage des gousses, on risque de perdre grans partie de la recolte</t>
  </si>
  <si>
    <t>SkBir36</t>
  </si>
  <si>
    <t>coffee,  beans, bananiers</t>
  </si>
  <si>
    <t>soybean, coffee, bananier</t>
  </si>
  <si>
    <t>soybean,coffee</t>
  </si>
  <si>
    <t>coffee, beans, bananier</t>
  </si>
  <si>
    <t>SkBir37/B37</t>
  </si>
  <si>
    <t>cassava, soybean, patate douce</t>
  </si>
  <si>
    <t xml:space="preserve"> soybean, cassava, patate douce</t>
  </si>
  <si>
    <t>Ecalyptus, soybean</t>
  </si>
  <si>
    <t>creuse des tunnels pour rediriger l'eau d'erosion en dehors du hamp</t>
  </si>
  <si>
    <t>SkBir38</t>
  </si>
  <si>
    <t>brulée; a la maison pour la cuisson</t>
  </si>
  <si>
    <t>SkBir39</t>
  </si>
  <si>
    <t>soybean,cassava, beans,maize,</t>
  </si>
  <si>
    <t>maize,beans,cassava</t>
  </si>
  <si>
    <t>marché local</t>
  </si>
  <si>
    <t xml:space="preserve">engrais organique de compostiere familiale et residu de culture: feuilles de bananier, déjections des dindes, chèvres </t>
  </si>
  <si>
    <t xml:space="preserve">grevillea, cedrella, avocatier, quinquina sur le champ </t>
  </si>
  <si>
    <t xml:space="preserve">prix de vente beans : 1kg 3300fc </t>
  </si>
  <si>
    <t>SkBir40</t>
  </si>
  <si>
    <t>beans, arachide</t>
  </si>
  <si>
    <t>engrais organique de compostiere familiale et residu de culture: épulchures des bananes, feuilles de bananiers, feuilles de titonia, déchets ménagers</t>
  </si>
  <si>
    <t xml:space="preserve">manuel, arachage de la plantule </t>
  </si>
  <si>
    <t xml:space="preserve">mise dans la compostière </t>
  </si>
  <si>
    <t>SkLuh2/L2</t>
  </si>
  <si>
    <t>beans, cassava, maize</t>
  </si>
  <si>
    <t xml:space="preserve">beans-soybean </t>
  </si>
  <si>
    <t xml:space="preserve">composts, dechets menagers, </t>
  </si>
  <si>
    <t>menage</t>
  </si>
  <si>
    <t>rien fait, quelques canaus de deviation de l'eau</t>
  </si>
  <si>
    <t>SkLuh3/L3</t>
  </si>
  <si>
    <t>soybean-cassava-patate douce</t>
  </si>
  <si>
    <t xml:space="preserve">cassava, beans, patate douce, arbres grevilea. </t>
  </si>
  <si>
    <t>Imperial, melangé un peu avec autres inconnu</t>
  </si>
  <si>
    <t>Semence achetee a 2.5$ le kilo, aupres de l'OP qui a acheté des agrodealers a katana et a l'INERA. Aussi une partie donnee par MercyCorps en 2022</t>
  </si>
  <si>
    <t>pas observée</t>
  </si>
  <si>
    <t xml:space="preserve">lutte contre les rats ravageurs, par mise des patate douce cuite et sales dans le cmap, oubien le tabac et 'mutuzo' plantés donnent une odeur qui aide a refuler les ravageurs </t>
  </si>
  <si>
    <t>aucune</t>
  </si>
  <si>
    <t>marché de bukavu, kavumu, mudaka, katana</t>
  </si>
  <si>
    <t>manuel, puis vehicule</t>
  </si>
  <si>
    <t>CLD Luhihi</t>
  </si>
  <si>
    <t>VC6</t>
  </si>
  <si>
    <t>SkLuh4/L4</t>
  </si>
  <si>
    <t xml:space="preserve">beans,cassava,maize,tournesol </t>
  </si>
  <si>
    <t xml:space="preserve">soybean,beans,cassava, tournesol </t>
  </si>
  <si>
    <t>soybean, cassava, arachide,maize, tournesol,bananier</t>
  </si>
  <si>
    <t>oignons</t>
  </si>
  <si>
    <t>beans,bananier,cassava</t>
  </si>
  <si>
    <t>engrais organique de compostiere familiale et residu de culture, feuilles de titonia</t>
  </si>
  <si>
    <t>canaux d'orientation d'eau</t>
  </si>
  <si>
    <t xml:space="preserve">oui, à cause de la sécheresse et des  insectes </t>
  </si>
  <si>
    <t xml:space="preserve">prix de vente 1kg arachide, tournesol : 1kg = 3 300fc </t>
  </si>
  <si>
    <t>marché de bukavu, kavumu, mudaka, katana, CCA Luhihi</t>
  </si>
  <si>
    <t>SkLuh5</t>
  </si>
  <si>
    <t>beans, cassava, bananier</t>
  </si>
  <si>
    <t>soybean, cassava,bananier</t>
  </si>
  <si>
    <t>soybean, cassava, bananier</t>
  </si>
  <si>
    <t>beans, bananier</t>
  </si>
  <si>
    <t>Pesticides biologiques, pulverise un a 2 fois, manuellement (composition et mode de preparation: voir images)</t>
  </si>
  <si>
    <t>mwikala (moyen entre civu et kanombe)</t>
  </si>
  <si>
    <t>oui, tres peu. Provenace du sentir a proximite</t>
  </si>
  <si>
    <t>deviation du cours d'eau</t>
  </si>
  <si>
    <t>SkLuh6</t>
  </si>
  <si>
    <t>mwikala</t>
  </si>
  <si>
    <t>SkLuh7</t>
  </si>
  <si>
    <t xml:space="preserve">soybean,cassava, beans </t>
  </si>
  <si>
    <t>cassava,patate douce</t>
  </si>
  <si>
    <t>engrais organique de compostiere : déchets ménagers, feuilles de banane et déjections des chèvres</t>
  </si>
  <si>
    <t xml:space="preserve">1kg beans = 3300fc , 1kg farine de cassava : 1000fc </t>
  </si>
  <si>
    <t>marché de birava, kavumu, katana</t>
  </si>
  <si>
    <t>manuel,</t>
  </si>
  <si>
    <t>au soleil, dans le champ et à la maison</t>
  </si>
  <si>
    <t>SkLuh8/L8</t>
  </si>
  <si>
    <t>beans,bananier,soybean</t>
  </si>
  <si>
    <t xml:space="preserve">engrais organique de compostiere : déchets ménagers, feuilles de banane et déjections des dindes </t>
  </si>
  <si>
    <t>SkLuh9</t>
  </si>
  <si>
    <t>cassava,beans</t>
  </si>
  <si>
    <t>aucun symptôme de maladie</t>
  </si>
  <si>
    <t>engrais organique de compostiere : déchets ménagers,résidus de culture et déjections des chèvres</t>
  </si>
  <si>
    <t>SkLuh10</t>
  </si>
  <si>
    <t>beans,patate douce</t>
  </si>
  <si>
    <t>engrais organique de compostiere : déchets ménagers, résidus de culture,feuilles de banane et déjections des chèvres et des dindes</t>
  </si>
  <si>
    <t xml:space="preserve">oui, à cause des insectes </t>
  </si>
  <si>
    <t>marché de Mushweshwe, kavumu, katana, birava</t>
  </si>
  <si>
    <t>SkLuh11</t>
  </si>
  <si>
    <t>soybean,beans,patae douce</t>
  </si>
  <si>
    <t>soybean,beans,patate douce</t>
  </si>
  <si>
    <t>engrais organique de compostiere : déchets ménagers, feuilles de banane et déjections des chèvres et dindes</t>
  </si>
  <si>
    <t>SkLuh12</t>
  </si>
  <si>
    <t>soybean,cassava, maize</t>
  </si>
  <si>
    <t xml:space="preserve">beans </t>
  </si>
  <si>
    <t>cassava,bananier</t>
  </si>
  <si>
    <t xml:space="preserve">oui des pertes dues à la secheresse et aaux insectes </t>
  </si>
  <si>
    <t>SkLuh13</t>
  </si>
  <si>
    <t>beans,cassava,maize,sorgho</t>
  </si>
  <si>
    <t>beans,soybean,cassava</t>
  </si>
  <si>
    <t>engrais organique de compostiere et de champ : déchets ménagers, feuilles de banane et déjections des chèvres, caliandra et MUNYEGENYEGE dans le champ pour enrichir le sol</t>
  </si>
  <si>
    <t xml:space="preserve">descanaux de conduites d'eau de 50cm de hauteur et 3m de longueur </t>
  </si>
  <si>
    <t>oui, à cause de la sécheresse surtout en SB</t>
  </si>
  <si>
    <t>marché local, Birava, Kavumu</t>
  </si>
  <si>
    <t>SkLuh14/L14</t>
  </si>
  <si>
    <t>harict,cassava</t>
  </si>
  <si>
    <t>PK06</t>
  </si>
  <si>
    <t>SkLuh15</t>
  </si>
  <si>
    <t>beans, maize, colcase, patate douce, bananier</t>
  </si>
  <si>
    <t>soybean, maize, tomate, bananier</t>
  </si>
  <si>
    <t>soybean, cassava, maize, bananier</t>
  </si>
  <si>
    <t xml:space="preserve"> </t>
  </si>
  <si>
    <t>similaire, diversifié</t>
  </si>
  <si>
    <t>recolte précedente et marche local</t>
  </si>
  <si>
    <t>engrais organique de compostiere familiale, crottes de chevre, et dechets d'extrait du jus de banane</t>
  </si>
  <si>
    <t>intermediaire, entre Civu et Kanombe</t>
  </si>
  <si>
    <t>au soleil, dans le champ, mais aussi dans ds sac a caoutchouc qui nous avaient ete distribue dans le CCA (centre de collecte agricole) pour le stockage du soybean et du beans</t>
  </si>
  <si>
    <t>SkLuh16</t>
  </si>
  <si>
    <t>soybean, cassava, arachide, patate douce</t>
  </si>
  <si>
    <t>soybean, cassava, patate douce</t>
  </si>
  <si>
    <t>beans, cassava, maiis</t>
  </si>
  <si>
    <t>Ratscomme raveurs.</t>
  </si>
  <si>
    <t>Endicide contre les rats. Mais en periode de pluies les indocides ne sont aps tres efficaces. Pas de maladie observee en general sur nos champs</t>
  </si>
  <si>
    <t>mixte Kanombe et civu</t>
  </si>
  <si>
    <t>sol fertile</t>
  </si>
  <si>
    <t>beans: 3200fc le kilo</t>
  </si>
  <si>
    <t>SkLuh17</t>
  </si>
  <si>
    <t>soybean, maize, colcase, bananier, patate douce</t>
  </si>
  <si>
    <t>beans, patate douce, bananier</t>
  </si>
  <si>
    <t>engrais organique de compostiere familiale et residu de culture, et compost du marché</t>
  </si>
  <si>
    <t>cham, maison et marché</t>
  </si>
  <si>
    <t>beans: 1kg 3700fc</t>
  </si>
  <si>
    <t>marché local, katana et de bukavu</t>
  </si>
  <si>
    <t>manuel, puis vehicule ou moto</t>
  </si>
  <si>
    <t>au soleil dans le champ</t>
  </si>
  <si>
    <t>SkLuh18/L18</t>
  </si>
  <si>
    <t>beans,cassava,maiis, bananier</t>
  </si>
  <si>
    <t>soybean, arachide, bananier</t>
  </si>
  <si>
    <t>beans : 3500 fc</t>
  </si>
  <si>
    <t>SkLuh19</t>
  </si>
  <si>
    <t>Tomate, maize, cassava</t>
  </si>
  <si>
    <t>soybean, beans, cassava</t>
  </si>
  <si>
    <t>similaire, diversifié, mais aussi un foret et des cafeirer dans ce domaine de Cimenki</t>
  </si>
  <si>
    <t>compost d'origine de toilettes abandonnee</t>
  </si>
  <si>
    <t>5 metre cube</t>
  </si>
  <si>
    <t>toilette abandonee</t>
  </si>
  <si>
    <t>beans: 1kg 3500fc</t>
  </si>
  <si>
    <t>marché local et de bukavu</t>
  </si>
  <si>
    <t>SkLuh20</t>
  </si>
  <si>
    <t>cassava,beans, maize, soybean, tomate</t>
  </si>
  <si>
    <t>tomate, cassava, soybean</t>
  </si>
  <si>
    <t>soybean, cassava, tomate</t>
  </si>
  <si>
    <t>Tomate, maize, cassava, beans</t>
  </si>
  <si>
    <t>Ravegeurs: rats qui coupent le collet des plantes, pour lesquels on met des pieges. Insectes dans les gousses quand il y a exces des pluies</t>
  </si>
  <si>
    <t>engrais organique de dechets menager et residu de culture</t>
  </si>
  <si>
    <t xml:space="preserve">de fois oui, </t>
  </si>
  <si>
    <t>decompose en compostiere puis enfouis lors du labour</t>
  </si>
  <si>
    <t xml:space="preserve">beans: 1kg 2000fc. Récolte tomate vendue à 60000fc </t>
  </si>
  <si>
    <t>SkLuh21</t>
  </si>
  <si>
    <t>beans,soybean</t>
  </si>
  <si>
    <t>sorgho</t>
  </si>
  <si>
    <t>Kipadiri</t>
  </si>
  <si>
    <t xml:space="preserve">engrais organique de compostiere : déchets ménagers et déjections des chèvres, lapins  et rat </t>
  </si>
  <si>
    <t>faible</t>
  </si>
  <si>
    <t>oui, à cause des insectes et de la sécheresse</t>
  </si>
  <si>
    <t>SkLuh22</t>
  </si>
  <si>
    <t>engrais organique de compostiere : déchets ménagers,  déjections des chèvres</t>
  </si>
  <si>
    <t>canaux d'orientation d'eau, titonia et KAHARI sur le bord du champ</t>
  </si>
  <si>
    <t>SkLuh23/L23</t>
  </si>
  <si>
    <t>recolte précedente, marché</t>
  </si>
  <si>
    <t>engrais organique de compostiere : déchets ménagers</t>
  </si>
  <si>
    <t>grevillea et tetradenia riparia sur le bord du champ</t>
  </si>
  <si>
    <t>SkLuh24</t>
  </si>
  <si>
    <t>bean,patate douce, coffee</t>
  </si>
  <si>
    <t>soybean, patate, coffee</t>
  </si>
  <si>
    <t>soybean,patate douce, coffee</t>
  </si>
  <si>
    <t>titonia dans le champ, grevillea sur les limites</t>
  </si>
  <si>
    <t>local, Lwangoma, Mushweshwe et Katana</t>
  </si>
  <si>
    <t>SkLuh25</t>
  </si>
  <si>
    <t>soybean,patate douce,colcase</t>
  </si>
  <si>
    <t>soybean,colcase,patate douce</t>
  </si>
  <si>
    <t>KIPADIRI</t>
  </si>
  <si>
    <t xml:space="preserve">engrais organique de compostiere : déchets ménagers, feuilles de banane </t>
  </si>
  <si>
    <t>canaux d'orientation de l'eau, un arbre de mesopsus au mlieu du champ</t>
  </si>
  <si>
    <t xml:space="preserve">brulée </t>
  </si>
  <si>
    <t>1kg beans = 3000fc</t>
  </si>
  <si>
    <t>famille</t>
  </si>
  <si>
    <t>SkLuh26</t>
  </si>
  <si>
    <t>soybean,cassava,patate douce</t>
  </si>
  <si>
    <t>KIPADIRI + mélange variétés locales</t>
  </si>
  <si>
    <t>canaux d'orientation d'eau, des bananiers dans le champ,  MARCAMIA LUTEA et KAHARI sur le bord du champ</t>
  </si>
  <si>
    <t>marché local, mudaka, Kavumu</t>
  </si>
  <si>
    <t>SkLuh27</t>
  </si>
  <si>
    <t>soybean,sorgho</t>
  </si>
  <si>
    <t>patate douce et arachide</t>
  </si>
  <si>
    <t xml:space="preserve">canaux d'orientation d'eau, titonia et tetradenia riparia sur la limite du champ </t>
  </si>
  <si>
    <t>patate douce dans le champ=100 000fc</t>
  </si>
  <si>
    <t>SkLuh28/L28</t>
  </si>
  <si>
    <t xml:space="preserve">patate douce </t>
  </si>
  <si>
    <t>4 à 5</t>
  </si>
  <si>
    <t>plantation de KAHARI sur le bord du champ</t>
  </si>
  <si>
    <t>local, bukavu, kavumu, mudaka, etc.</t>
  </si>
  <si>
    <t>SkLuh29/L29</t>
  </si>
  <si>
    <t>beans+soybean</t>
  </si>
  <si>
    <t xml:space="preserve">engrais organique de compostiere : déchets ménagers et résidus de culture </t>
  </si>
  <si>
    <t xml:space="preserve">oui, à cause de la sécheresse surtout en SB, érision lesssive les nutriments contenus dans les engrais </t>
  </si>
  <si>
    <t>local et Birava</t>
  </si>
  <si>
    <t>SkLuh30</t>
  </si>
  <si>
    <t xml:space="preserve">soybean,cassava, patate douce </t>
  </si>
  <si>
    <t>regulièrement</t>
  </si>
  <si>
    <t>oui, à cause de l'érosion et la sécheresse</t>
  </si>
  <si>
    <t>local, Birava</t>
  </si>
  <si>
    <t>SkLuh31</t>
  </si>
  <si>
    <t xml:space="preserve">canaux d'orientation d'eau, sur la limite du champ : Marcamia lutea, grevillea et titonia </t>
  </si>
  <si>
    <t xml:space="preserve">oui, à cause de l'érosion </t>
  </si>
  <si>
    <t>SkLuh32</t>
  </si>
  <si>
    <t>soybean,cassava, beans, maize</t>
  </si>
  <si>
    <t>soybean,cassava,beans, maize</t>
  </si>
  <si>
    <t xml:space="preserve">Bisholoba et Titonia sur le bord du champ </t>
  </si>
  <si>
    <t>SkLuh33</t>
  </si>
  <si>
    <t>engrais organique de compostiere : déchets ménagers, feuilles de banane et déjections des dindes , le cendre</t>
  </si>
  <si>
    <t xml:space="preserve">oui, à cause de l'érosion et de la sécheresse </t>
  </si>
  <si>
    <t xml:space="preserve"> local</t>
  </si>
  <si>
    <t>SkLuh34</t>
  </si>
  <si>
    <t>SkKat1</t>
  </si>
  <si>
    <t>soybean, tournesol</t>
  </si>
  <si>
    <t>precedent harvest, marché local</t>
  </si>
  <si>
    <t>Kabale</t>
  </si>
  <si>
    <t xml:space="preserve">oui, à cause de l'érosion et des insectes </t>
  </si>
  <si>
    <t>SkKat2</t>
  </si>
  <si>
    <t>soybean, arachide, cassava</t>
  </si>
  <si>
    <t xml:space="preserve">soybean, beans, cassava, </t>
  </si>
  <si>
    <t>beans, arachide, cassava</t>
  </si>
  <si>
    <t>beans, cassava, soybean</t>
  </si>
  <si>
    <t xml:space="preserve">engrais organique de compostiere : déchets ménagers et résidus des cultures </t>
  </si>
  <si>
    <t>fossée de garde au dessus du champ</t>
  </si>
  <si>
    <t>SkKat3</t>
  </si>
  <si>
    <t>41-50</t>
  </si>
  <si>
    <t>Féminin</t>
  </si>
  <si>
    <t>bean, cassava</t>
  </si>
  <si>
    <t>soybean-bean</t>
  </si>
  <si>
    <t>bean,cassava</t>
  </si>
  <si>
    <t>banana, beans, coffee</t>
  </si>
  <si>
    <t>local market and previous harvests</t>
  </si>
  <si>
    <t>Some signs of yellowing, see images</t>
  </si>
  <si>
    <t>organic fertilizer</t>
  </si>
  <si>
    <t>unknown, and not frequent</t>
  </si>
  <si>
    <t>household: animals wastes</t>
  </si>
  <si>
    <t>yes, fertile soil</t>
  </si>
  <si>
    <t>planting some plants like titonia, grevilea, etc around the field</t>
  </si>
  <si>
    <t xml:space="preserve"> plant enterily uprooted manualy and taken home for beating</t>
  </si>
  <si>
    <t>composted and burried during next soil ploughing</t>
  </si>
  <si>
    <t>amener à la coopérative/organisation dont vous etes membre</t>
  </si>
  <si>
    <t xml:space="preserve">namual. Humans </t>
  </si>
  <si>
    <t>l'acheteur</t>
  </si>
  <si>
    <t>COOPAKAB and CIMMAL/ULPD</t>
  </si>
  <si>
    <t>SkKat4</t>
  </si>
  <si>
    <t>50 et +</t>
  </si>
  <si>
    <t>Masculin</t>
  </si>
  <si>
    <t>bean, maize, banana</t>
  </si>
  <si>
    <t>soybean, maize, banana</t>
  </si>
  <si>
    <t>bean, maize</t>
  </si>
  <si>
    <t xml:space="preserve">Ecalyptus, banana </t>
  </si>
  <si>
    <t>observed, also sometimes somes insects btu they don't damage much</t>
  </si>
  <si>
    <t xml:space="preserve">household animals wastes and farm harvest residues </t>
  </si>
  <si>
    <t>vente sur le marché</t>
  </si>
  <si>
    <t>vous</t>
  </si>
  <si>
    <t>SkKat5</t>
  </si>
  <si>
    <t>bean, cassava, sorghum</t>
  </si>
  <si>
    <t>bean,cassava, sorghum</t>
  </si>
  <si>
    <t>cassava,coffee, soybean, horticulture</t>
  </si>
  <si>
    <t>yellowing durign growth</t>
  </si>
  <si>
    <t>litte, unknown</t>
  </si>
  <si>
    <t>contour lines around the field</t>
  </si>
  <si>
    <t xml:space="preserve"> plant enterily uprooted manualy</t>
  </si>
  <si>
    <t>composted at home, or thrown away or burnt</t>
  </si>
  <si>
    <t>SkKat6</t>
  </si>
  <si>
    <t>bean</t>
  </si>
  <si>
    <t>soybean, houses</t>
  </si>
  <si>
    <t>SkKat7</t>
  </si>
  <si>
    <t>31-40</t>
  </si>
  <si>
    <t>yellowing of edges of leaves during growth</t>
  </si>
  <si>
    <t>household animals wastes</t>
  </si>
  <si>
    <t>SkKat8</t>
  </si>
  <si>
    <t>beans,maize</t>
  </si>
  <si>
    <t>civu mixed</t>
  </si>
  <si>
    <t xml:space="preserve"> plant enterily uprooted manualy </t>
  </si>
  <si>
    <t>composted in the field</t>
  </si>
  <si>
    <t>votre coopérative agricole</t>
  </si>
  <si>
    <t>SkKat9</t>
  </si>
  <si>
    <t>maize, bean, cassava</t>
  </si>
  <si>
    <t>yes, observed but not severe..so, we don’t do anything</t>
  </si>
  <si>
    <t xml:space="preserve">farm harvest residues </t>
  </si>
  <si>
    <t>SkLuh35</t>
  </si>
  <si>
    <t>mixed</t>
  </si>
  <si>
    <t>SkLuh36</t>
  </si>
  <si>
    <t>sorghum, bean</t>
  </si>
  <si>
    <t>soybean, sorghum</t>
  </si>
  <si>
    <t>soybean, cassava, banana</t>
  </si>
  <si>
    <t>redirecting water outside the field</t>
  </si>
  <si>
    <t>SkLuh37</t>
  </si>
  <si>
    <t xml:space="preserve">household animals wastes and/or farm harvest residues </t>
  </si>
  <si>
    <t>Large farm in Kasai</t>
  </si>
  <si>
    <t>cluster3</t>
  </si>
  <si>
    <t>conventional soybean</t>
  </si>
  <si>
    <t>pesticides</t>
  </si>
  <si>
    <t>ferralsol</t>
  </si>
  <si>
    <t>Entreprise</t>
  </si>
  <si>
    <t>VC4</t>
  </si>
  <si>
    <t>Large farm in South kivu</t>
  </si>
  <si>
    <t>VC8</t>
  </si>
  <si>
    <t>Ngandajika/Baluba Nshakadi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</si>
</sst>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0000"/>
    <numFmt numFmtId="165" formatCode="0.0000"/>
    <numFmt numFmtId="167" formatCode="0.000"/>
  </numFmts>
  <fonts count="12" x14ac:knownFonts="1">
    <font>
      <sz val="11"/>
      <color theme="1"/>
      <name val="Calibri"/>
      <family val="2"/>
      <scheme val="minor"/>
    </font>
    <font>
      <b/>
      <sz val="11"/>
      <color theme="1"/>
      <name val="Calibri"/>
      <family val="2"/>
      <scheme val="minor"/>
    </font>
    <font>
      <b/>
      <sz val="12"/>
      <color theme="1"/>
      <name val="Calibri"/>
      <family val="2"/>
      <scheme val="minor"/>
    </font>
    <font>
      <sz val="12"/>
      <color theme="1"/>
      <name val="Calibri"/>
      <family val="2"/>
      <scheme val="minor"/>
    </font>
    <font>
      <b/>
      <sz val="12"/>
      <name val="Calibri"/>
      <family val="2"/>
      <scheme val="minor"/>
    </font>
    <font>
      <b/>
      <sz val="12"/>
      <color rgb="FFFF0000"/>
      <name val="Calibri"/>
      <family val="2"/>
      <scheme val="minor"/>
    </font>
    <font>
      <b/>
      <sz val="12"/>
      <color rgb="FF2E2E2E"/>
      <name val="Calibri"/>
      <family val="2"/>
      <scheme val="minor"/>
    </font>
    <font>
      <sz val="11"/>
      <color rgb="FF3C4043"/>
      <name val="Calibri"/>
      <family val="2"/>
      <scheme val="minor"/>
    </font>
    <font>
      <sz val="11"/>
      <name val="Calibri"/>
      <family val="2"/>
      <scheme val="minor"/>
    </font>
    <font>
      <sz val="12"/>
      <color theme="1"/>
      <name val="Times New Roman"/>
      <family val="1"/>
    </font>
    <font>
      <sz val="9"/>
      <color theme="1"/>
      <name val="Arial"/>
      <family val="2"/>
    </font>
    <font>
      <b/>
      <sz val="11"/>
      <name val="Calibri"/>
      <family val="2"/>
      <scheme val="minor"/>
    </font>
  </fonts>
  <fills count="12">
    <fill>
      <patternFill patternType="none"/>
    </fill>
    <fill>
      <patternFill patternType="gray125"/>
    </fill>
    <fill>
      <patternFill patternType="solid">
        <fgColor theme="4" tint="0.59999389629810485"/>
        <bgColor indexed="64"/>
      </patternFill>
    </fill>
    <fill>
      <patternFill patternType="solid">
        <fgColor theme="5" tint="0.59999389629810485"/>
        <bgColor indexed="64"/>
      </patternFill>
    </fill>
    <fill>
      <patternFill patternType="solid">
        <fgColor theme="9" tint="0.39997558519241921"/>
        <bgColor indexed="64"/>
      </patternFill>
    </fill>
    <fill>
      <patternFill patternType="solid">
        <fgColor theme="7" tint="0.79998168889431442"/>
        <bgColor indexed="64"/>
      </patternFill>
    </fill>
    <fill>
      <patternFill patternType="solid">
        <fgColor rgb="FFBC7014"/>
        <bgColor indexed="64"/>
      </patternFill>
    </fill>
    <fill>
      <patternFill patternType="solid">
        <fgColor theme="6" tint="0.39997558519241921"/>
        <bgColor indexed="64"/>
      </patternFill>
    </fill>
    <fill>
      <patternFill patternType="solid">
        <fgColor theme="6" tint="0.59999389629810485"/>
        <bgColor indexed="64"/>
      </patternFill>
    </fill>
    <fill>
      <patternFill patternType="solid">
        <fgColor rgb="FF00B0F0"/>
        <bgColor indexed="64"/>
      </patternFill>
    </fill>
    <fill>
      <patternFill patternType="solid">
        <fgColor theme="7"/>
        <bgColor indexed="64"/>
      </patternFill>
    </fill>
    <fill>
      <patternFill patternType="solid">
        <fgColor rgb="FFFFFF00"/>
        <bgColor indexed="64"/>
      </patternFill>
    </fill>
  </fills>
  <borders count="1">
    <border>
      <left/>
      <right/>
      <top/>
      <bottom/>
      <diagonal/>
    </border>
  </borders>
  <cellStyleXfs count="1">
    <xf numFmtId="0" fontId="0" fillId="0" borderId="0"/>
  </cellStyleXfs>
  <cellXfs count="61">
    <xf numFmtId="0" fontId="0" fillId="0" borderId="0" xfId="0"/>
    <xf numFmtId="0" fontId="2" fillId="2" borderId="0" xfId="0" applyFont="1" applyFill="1"/>
    <xf numFmtId="2" fontId="2" fillId="2" borderId="0" xfId="0" applyNumberFormat="1" applyFont="1" applyFill="1"/>
    <xf numFmtId="0" fontId="3" fillId="0" borderId="0" xfId="0" applyFont="1"/>
    <xf numFmtId="164" fontId="2" fillId="2" borderId="0" xfId="0" applyNumberFormat="1" applyFont="1" applyFill="1"/>
    <xf numFmtId="0" fontId="4" fillId="3" borderId="0" xfId="0" applyFont="1" applyFill="1"/>
    <xf numFmtId="0" fontId="2" fillId="3" borderId="0" xfId="0" applyFont="1" applyFill="1"/>
    <xf numFmtId="0" fontId="2" fillId="4" borderId="0" xfId="0" applyFont="1" applyFill="1"/>
    <xf numFmtId="0" fontId="2" fillId="5" borderId="0" xfId="0" applyFont="1" applyFill="1"/>
    <xf numFmtId="0" fontId="2" fillId="6" borderId="0" xfId="0" applyFont="1" applyFill="1"/>
    <xf numFmtId="0" fontId="3" fillId="6" borderId="0" xfId="0" applyFont="1" applyFill="1"/>
    <xf numFmtId="0" fontId="2" fillId="7" borderId="0" xfId="0" applyFont="1" applyFill="1" applyAlignment="1">
      <alignment horizontal="left"/>
    </xf>
    <xf numFmtId="0" fontId="2" fillId="8" borderId="0" xfId="0" applyFont="1" applyFill="1" applyAlignment="1">
      <alignment wrapText="1"/>
    </xf>
    <xf numFmtId="0" fontId="2" fillId="9" borderId="0" xfId="0" applyFont="1" applyFill="1"/>
    <xf numFmtId="0" fontId="2" fillId="10" borderId="0" xfId="0" applyFont="1" applyFill="1"/>
    <xf numFmtId="0" fontId="2" fillId="0" borderId="0" xfId="0" applyFont="1"/>
    <xf numFmtId="0" fontId="2" fillId="10" borderId="0" xfId="0" applyFont="1" applyFill="1" applyAlignment="1">
      <alignment wrapText="1"/>
    </xf>
    <xf numFmtId="0" fontId="5" fillId="11" borderId="0" xfId="0" applyFont="1" applyFill="1" applyAlignment="1">
      <alignment horizontal="left"/>
    </xf>
    <xf numFmtId="0" fontId="6" fillId="0" borderId="0" xfId="0" applyFont="1"/>
    <xf numFmtId="14" fontId="0" fillId="0" borderId="0" xfId="0" applyNumberFormat="1"/>
    <xf numFmtId="2" fontId="0" fillId="0" borderId="0" xfId="0" applyNumberFormat="1"/>
    <xf numFmtId="164" fontId="7" fillId="0" borderId="0" xfId="0" applyNumberFormat="1" applyFont="1" applyAlignment="1">
      <alignment horizontal="right" vertical="center"/>
    </xf>
    <xf numFmtId="164" fontId="0" fillId="0" borderId="0" xfId="0" applyNumberFormat="1"/>
    <xf numFmtId="0" fontId="7" fillId="0" borderId="0" xfId="0" applyFont="1" applyAlignment="1">
      <alignment horizontal="right" vertical="center"/>
    </xf>
    <xf numFmtId="0" fontId="8" fillId="0" borderId="0" xfId="0" applyFont="1"/>
    <xf numFmtId="0" fontId="1" fillId="0" borderId="0" xfId="0" applyFont="1"/>
    <xf numFmtId="0" fontId="9" fillId="0" borderId="0" xfId="0" applyFont="1"/>
    <xf numFmtId="165" fontId="0" fillId="0" borderId="0" xfId="0" applyNumberFormat="1"/>
    <xf numFmtId="164" fontId="0" fillId="0" borderId="0" xfId="0" applyNumberFormat="1" applyAlignment="1">
      <alignment horizontal="right"/>
    </xf>
    <xf numFmtId="164" fontId="8" fillId="0" borderId="0" xfId="0" applyNumberFormat="1" applyFont="1"/>
    <xf numFmtId="14" fontId="1" fillId="0" borderId="0" xfId="0" applyNumberFormat="1" applyFont="1"/>
    <xf numFmtId="14" fontId="8" fillId="0" borderId="0" xfId="0" applyNumberFormat="1" applyFont="1"/>
    <xf numFmtId="0" fontId="10" fillId="0" borderId="0" xfId="0" applyFont="1"/>
    <xf numFmtId="164" fontId="10" fillId="0" borderId="0" xfId="0" applyNumberFormat="1" applyFont="1"/>
    <xf numFmtId="0" fontId="10" fillId="0" borderId="0" xfId="0" applyFont="1" applyAlignment="1">
      <alignment vertical="center" wrapText="1"/>
    </xf>
    <xf numFmtId="2" fontId="8" fillId="0" borderId="0" xfId="0" applyNumberFormat="1" applyFont="1"/>
    <xf numFmtId="0" fontId="8" fillId="0" borderId="0" xfId="0" applyFont="1" applyAlignment="1">
      <alignment wrapText="1"/>
    </xf>
    <xf numFmtId="17" fontId="8" fillId="0" borderId="0" xfId="0" applyNumberFormat="1" applyFont="1"/>
    <xf numFmtId="0" fontId="0" fillId="0" borderId="0" xfId="0" applyAlignment="1">
      <alignment wrapText="1"/>
    </xf>
    <xf numFmtId="16" fontId="0" fillId="0" borderId="0" xfId="0" applyNumberFormat="1"/>
    <xf numFmtId="0" fontId="0" fillId="0" borderId="0" xfId="0" applyAlignment="1">
      <alignment horizontal="right" vertical="center"/>
    </xf>
    <xf numFmtId="0" fontId="0" fillId="0" borderId="0" xfId="0" applyAlignment="1">
      <alignment horizontal="left" vertical="center"/>
    </xf>
    <xf numFmtId="164" fontId="0" fillId="0" borderId="0" xfId="0" applyNumberFormat="1" applyAlignment="1">
      <alignment horizontal="right" vertical="center"/>
    </xf>
    <xf numFmtId="1" fontId="0" fillId="0" borderId="0" xfId="0" applyNumberFormat="1" applyAlignment="1">
      <alignment horizontal="right" vertical="center"/>
    </xf>
    <xf numFmtId="2" fontId="0" fillId="0" borderId="0" xfId="0" applyNumberFormat="1" applyAlignment="1">
      <alignment horizontal="right" vertical="center"/>
    </xf>
    <xf numFmtId="167" fontId="0" fillId="0" borderId="0" xfId="0" applyNumberFormat="1" applyAlignment="1">
      <alignment horizontal="right" vertical="center"/>
    </xf>
    <xf numFmtId="16" fontId="9" fillId="0" borderId="0" xfId="0" applyNumberFormat="1" applyFont="1" applyAlignment="1">
      <alignment horizontal="left" vertical="center"/>
    </xf>
    <xf numFmtId="0" fontId="9" fillId="0" borderId="0" xfId="0" applyFont="1" applyAlignment="1">
      <alignment horizontal="left" vertical="center"/>
    </xf>
    <xf numFmtId="0" fontId="3" fillId="0" borderId="0" xfId="0" applyFont="1" applyAlignment="1">
      <alignment horizontal="left" vertical="center"/>
    </xf>
    <xf numFmtId="1" fontId="8" fillId="0" borderId="0" xfId="0" applyNumberFormat="1" applyFont="1" applyAlignment="1">
      <alignment horizontal="right" vertical="center"/>
    </xf>
    <xf numFmtId="0" fontId="8" fillId="0" borderId="0" xfId="0" applyFont="1" applyFill="1"/>
    <xf numFmtId="0" fontId="0" fillId="0" borderId="0" xfId="0" applyFill="1"/>
    <xf numFmtId="2" fontId="0" fillId="0" borderId="0" xfId="0" applyNumberFormat="1" applyFill="1"/>
    <xf numFmtId="2" fontId="8" fillId="0" borderId="0" xfId="0" applyNumberFormat="1" applyFont="1" applyFill="1"/>
    <xf numFmtId="164" fontId="0" fillId="0" borderId="0" xfId="0" applyNumberFormat="1" applyFill="1"/>
    <xf numFmtId="0" fontId="8" fillId="0" borderId="0" xfId="0" applyFont="1" applyFill="1" applyAlignment="1">
      <alignment wrapText="1"/>
    </xf>
    <xf numFmtId="0" fontId="0" fillId="0" borderId="0" xfId="0" applyFill="1" applyAlignment="1">
      <alignment wrapText="1"/>
    </xf>
    <xf numFmtId="14" fontId="0" fillId="0" borderId="0" xfId="0" applyNumberFormat="1" applyFill="1"/>
    <xf numFmtId="0" fontId="1" fillId="0" borderId="0" xfId="0" applyFont="1" applyFill="1"/>
    <xf numFmtId="0" fontId="9" fillId="0" borderId="0" xfId="0" applyFont="1" applyFill="1"/>
    <xf numFmtId="165" fontId="0" fillId="0" borderId="0" xfId="0" applyNumberFormat="1" applyFill="1"/>
  </cellXfs>
  <cellStyles count="1">
    <cellStyle name="Normal" xfId="0" builtinId="0"/>
  </cellStyles>
  <dxfs count="1">
    <dxf>
      <numFmt numFmtId="30" formatCode="@"/>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alcChain" Target="calcChain.xml"/><Relationship Id="rId5" Type="http://schemas.microsoft.com/office/2017/10/relationships/person" Target="persons/person.xml"/><Relationship Id="rId4" Type="http://schemas.openxmlformats.org/officeDocument/2006/relationships/sharedStrings" Target="sharedStrings.xml"/></Relationships>
</file>

<file path=xl/persons/person.xml><?xml version="1.0" encoding="utf-8"?>
<personList xmlns="http://schemas.microsoft.com/office/spreadsheetml/2018/threadedcomments" xmlns:x="http://schemas.openxmlformats.org/spreadsheetml/2006/main">
  <person displayName="Bugale Malembaka  Réussite" id="{C489A945-1D9F-4EA9-A77E-4E6FB1F3E230}" userId="S::rbugale@ethz.ch::3c75defc-0fb5-4708-b1e5-badcae1daa94" providerId="AD"/>
</personList>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Q1" dT="2024-03-05T13:20:51.65" personId="{C489A945-1D9F-4EA9-A77E-4E6FB1F3E230}" id="{65524207-F5CE-4B8E-A0A1-B23E3867538A}">
    <text>This variable was dependent on the proportion of seeds used for each crop, and on the space occupied by each crop on the farm, assessed on 1m2. Though planting method is broadcast, e.g. where there was soy+maize, it came to around 1 lines of maize in 2 lines of soy, around 60% of space occupied by soy</text>
  </threadedComment>
  <threadedComment ref="AD1" dT="2024-06-12T07:14:19.22" personId="{C489A945-1D9F-4EA9-A77E-4E6FB1F3E230}" id="{6EF1D63B-05DC-42D1-A0B4-8B2BFD06E5E0}">
    <text>This is the kgs of seeds of soy the farmer declared used on his farm in total</text>
  </threadedComment>
  <threadedComment ref="AE1" dT="2024-03-03T23:24:43.34" personId="{C489A945-1D9F-4EA9-A77E-4E6FB1F3E230}" id="{E2F4716F-FCC7-4E5E-932B-157BD446FE6F}">
    <text>This was not very precise from the farmers. Approximations. And others were not giving even the approximation because not knowing</text>
  </threadedComment>
  <threadedComment ref="BF1" dT="2024-03-04T14:14:39.01" personId="{C489A945-1D9F-4EA9-A77E-4E6FB1F3E230}" id="{3178AE2B-01EF-4A2D-93DF-E360CDC93CE7}">
    <text>Land Equivalent Ratio: Ysic/Ysmc+Yxic/Yxmc. 
We considered only cassava and maize or coffee, whenever it is the crop associated</text>
  </threadedComment>
  <threadedComment ref="BY1" dT="2024-08-19T17:16:54.15" personId="{C489A945-1D9F-4EA9-A77E-4E6FB1F3E230}" id="{EE079EC0-1B53-46A7-8C99-BEE403902245}">
    <text xml:space="preserve">Using a factor of 1.2105
 from data from Clause, to convert soil organic carbon of 20cm to 30cm in tropical soils. This factor was calculated together with the data from Claude in Kenya in Nitisols 38tCha at20cm and  and with the data of default value from Brazil in ferralsols in Minas Gerais 46tCha at 30cm, in the BRCalc
</text>
  </threadedComment>
  <threadedComment ref="BZ1" dT="2024-01-25T17:48:37.67" personId="{C489A945-1D9F-4EA9-A77E-4E6FB1F3E230}" id="{8C87F092-8FEA-4B0A-B920-9CFAE8A7D57E}">
    <text xml:space="preserve">Calculation of CF occupation : cgahe of SOC due to occupation Equation 1 in Laurentiis et al. 2024.  Production potential due to occupation. 
CFocc,LUi = SOCref − SOCLUi [tonne C ha−1] : this means if the result is negative, the SOCref is lowe than the SOCLui and it means there was an increase in carbon stock …. 
If we devide this value by 20 years, we get the average annual stock change.  20 years is the time dependence of the stock change factor, i.e., factor represents annual rate of change over 20 years  </text>
  </threadedComment>
  <threadedComment ref="CA1" dT="2024-03-15T13:39:40.11" personId="{C489A945-1D9F-4EA9-A77E-4E6FB1F3E230}" id="{3D10CC01-2EE1-46F5-BC24-1D9BCC26FB84}">
    <text>These are: Description details for SOC in native vegetations from peer reviewed litterature: :@ 
Topsoil SOC stocks were higher in the mafic region (145.3 +/-30.0 Mg C ha−1) in the trpoical mountain forest: Benjamin Bukombe et al.2022.  in the tropical savanna, it was around 47 in the 0-30cm.</text>
  </threadedComment>
  <threadedComment ref="CB1" dT="2024-04-19T20:11:36.92" personId="{C489A945-1D9F-4EA9-A77E-4E6FB1F3E230}" id="{BC21CCCB-FC79-4866-845E-E36917B3F80C}">
    <text>Formula: land occupation arable = m2 year/kg soy = 10000/yieldA monocropped +yieldB monocropped * (130x2/365)
 We used the so yield of season A  and B monocropped, as we assume 100% of the area is occupied by soy. We added the two as soy is grown 2 seasons in one year 130days x2. Source Nemecek and Kagi, 2007. Friscknecht et al. 2007</text>
  </threadedComment>
  <threadedComment ref="CC1" dT="2024-04-19T20:11:36.92" personId="{C489A945-1D9F-4EA9-A77E-4E6FB1F3E230}" id="{77D49C44-5491-4D76-928D-71E52EC41439}">
    <text>Formula: land occupation arable = m2 year/kg soy = 10000/yieldA monocropped +yieldB monocropped * (130x2/365)
 We used the so yield of season A  and B monocropped, as we assume 100% of the area is occupied by soy. We added the two as soy is grown 2 seasons in one year 130days x2. Source Nemecek and Kagi, 2007. Friscknecht et al. 2007</text>
  </threadedComment>
  <threadedComment ref="CE1" dT="2024-07-18T13:13:18.63" personId="{C489A945-1D9F-4EA9-A77E-4E6FB1F3E230}" id="{82FCCACF-AA63-46AE-85F6-747DF0D13101}">
    <text>The defauolt values of shoot biomass are calculated from the CoolFarmTool.  E.g 800kg/ha has a shootbiomass of 1528kg of above ground biomass ie 1kg of grain harvested has 1.911kg of shoot biomass. Ainsi la conversion: 1.911 x average yield season A and B.
C content of above-ground residues for crop T, kg C (kg d.m.) -1 (Default: 0.42 kg C (kg
d.m.) -1)
soybean shoot biomass: 
Residue amount here is above-ground plant residue and must be entered as "dry weight”. Default values for dry matter weights are provided for most crops. For 1000kg/ha of soybean, the plant residue biomass is of 1911kg/ha (default value in smallholder farming in Africa. SOurce. cool farm tool.
The total kg C in the above ground biomass wound be 0.42*1911kg=802.62kg C in the aboveground biomass, from a harvest of 1000kg grains of soybean.
We used the so yield of season A  and B monocropped, as we assume 100% of the area is occupied by soy. We added the two as soy is grown 2 seasons in one year 130days x2, and did the same to calculate the average yield and biomass</text>
  </threadedComment>
  <threadedComment ref="CF1" dT="2024-08-06T08:46:53.88" personId="{C489A945-1D9F-4EA9-A77E-4E6FB1F3E230}" id="{37191B2E-0246-4728-BA11-925CE92B0363}">
    <text>This is the estimation of the biomass applied as amendement. To take with big grain of salt (high uncertainty) as sometimes farmers had no precision.</text>
  </threadedComment>
  <threadedComment ref="P2" dT="2023-08-06T19:58:20.59" personId="{C489A945-1D9F-4EA9-A77E-4E6FB1F3E230}" id="{BB462368-D478-4F94-B721-F81BF3FD4017}">
    <text>When in rotation it is mentionned soybean-soybean, it means that it is a succession and soy is grown twice in a year</text>
  </threadedComment>
  <threadedComment ref="Q10" dT="2023-08-18T10:44:32.46" personId="{C489A945-1D9F-4EA9-A77E-4E6FB1F3E230}" id="{1810C827-C756-4025-B90E-DEC7FD0C2540}">
    <text>On this plot where soy is associated with maize, we grow two rows of soy between one row of maize. This would give an idea that the soy occupies around 2/3rd or 60% of this area.</text>
  </threadedComment>
  <threadedComment ref="BH11" dT="2023-08-04T10:56:39.06" personId="{C489A945-1D9F-4EA9-A77E-4E6FB1F3E230}" id="{B5E5833B-F688-46C9-AEBD-3751A9688325}">
    <text>For maize. We sell at 4500fc for 4 kg of maize. Production varies also, but on average 40 mekas on this area here</text>
  </threadedComment>
  <threadedComment ref="BD18" dT="2024-03-05T21:51:51.59" personId="{C489A945-1D9F-4EA9-A77E-4E6FB1F3E230}" id="{AEFFD35F-6ED1-4BE0-8E7B-AD03E745CD90}">
    <text>maize as the associated crop, we can harvest up to 70 or 75 mekas in A season, and in B, even 40 mekas only.</text>
  </threadedComment>
  <threadedComment ref="BH21" dT="2023-08-04T10:56:39.06" personId="{C489A945-1D9F-4EA9-A77E-4E6FB1F3E230}" id="{6237D529-079A-4F27-A383-DE6C95871EF3}">
    <text>For maize. We sell at 4500fc for 4 kg of maize. Production varies also, but on average 40 mekas on this area here</text>
  </threadedComment>
  <threadedComment ref="BH22" dT="2023-08-04T10:56:39.06" personId="{C489A945-1D9F-4EA9-A77E-4E6FB1F3E230}" id="{3854551B-49EB-4C86-A423-4BB8482D4497}">
    <text>For maize. We sell at 4500fc for 4 kg of maize. Production varies also, but on average 40 mekas on this area here</text>
  </threadedComment>
  <threadedComment ref="BB23" dT="2023-08-04T10:53:40.09" personId="{C489A945-1D9F-4EA9-A77E-4E6FB1F3E230}" id="{12BA4773-EFCD-46A0-A7F1-D24820B7F8BA}">
    <text># maize =(40*4/$P31)*10000 s= 640kg/ha on average. But maize is not associated, it is rotated</text>
  </threadedComment>
  <threadedComment ref="BH23" dT="2023-08-04T10:56:39.06" personId="{C489A945-1D9F-4EA9-A77E-4E6FB1F3E230}" id="{54B0EEEE-BDF5-4C3A-904B-E4B28E714961}">
    <text>For maize. We sell at 4500fc for 4 kg of maize. Production varies also, but on average 40 mekas on this area here</text>
  </threadedComment>
  <threadedComment ref="BH25" dT="2023-08-04T10:56:39.06" personId="{C489A945-1D9F-4EA9-A77E-4E6FB1F3E230}" id="{815453BB-EF52-4295-8E4E-E82B9CE0D94F}">
    <text>For maize. We sell at 4500fc for 4 kg of maize. Production varies also, but on average 40 mekas on this area here</text>
  </threadedComment>
  <threadedComment ref="BH45" dT="2023-08-04T10:56:39.06" personId="{C489A945-1D9F-4EA9-A77E-4E6FB1F3E230}" id="{9EE7CD83-F2F4-4B71-AA64-13410FE7025D}">
    <text>For maize. We sell at 4500fc for 4 kg of maize. Production varies also, but on average 40 mekas on this area here</text>
  </threadedComment>
  <threadedComment ref="BB50" dT="2024-03-05T15:14:55.16" personId="{C489A945-1D9F-4EA9-A77E-4E6FB1F3E230}" id="{962B5333-7459-43CB-B4AD-1E48A8818825}">
    <text>To correct: remember this column was labelled: yield of first crop associated</text>
  </threadedComment>
  <threadedComment ref="BD50" dT="2024-03-05T15:15:26.53" personId="{C489A945-1D9F-4EA9-A77E-4E6FB1F3E230}" id="{93B92C99-4C41-4E57-A0FB-EA418DF103B7}">
    <text xml:space="preserve">To correct: remember this column was labelled: yield of second crop associated
</text>
  </threadedComment>
  <threadedComment ref="AD106" dT="2023-06-24T14:24:28.89" personId="{C489A945-1D9F-4EA9-A77E-4E6FB1F3E230}" id="{F7FF22C1-3C2E-4DB2-B696-96F7BE877C3B}">
    <text>Il y a un probleme avec cette quantite. le champ est de 50x20 et le soja occupe pres de 20% mais on utilise jusqua 9kg de semence???Impossible</text>
  </threadedComment>
</ThreadedComments>
</file>

<file path=xl/worksheets/_rels/sheet1.xml.rels><?xml version="1.0" encoding="UTF-8" standalone="yes"?>
<Relationships xmlns="http://schemas.openxmlformats.org/package/2006/relationships"><Relationship Id="rId3" Type="http://schemas.microsoft.com/office/2017/10/relationships/threadedComment" Target="../threadedComments/threadedComment1.xml"/><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H134"/>
  <sheetViews>
    <sheetView tabSelected="1" zoomScale="70" zoomScaleNormal="70" workbookViewId="0">
      <selection activeCell="L25" sqref="L25"/>
    </sheetView>
  </sheetViews>
  <sheetFormatPr defaultColWidth="25.21875" defaultRowHeight="14.4" x14ac:dyDescent="0.3"/>
  <cols>
    <col min="1" max="1" width="8.5546875" customWidth="1"/>
    <col min="2" max="2" width="29" style="20" customWidth="1"/>
    <col min="4" max="4" width="10.21875" style="20" customWidth="1"/>
    <col min="5" max="5" width="11.5546875" customWidth="1"/>
    <col min="6" max="6" width="8.44140625" customWidth="1"/>
    <col min="7" max="7" width="12.77734375" customWidth="1"/>
    <col min="8" max="8" width="17.77734375" customWidth="1"/>
    <col min="9" max="9" width="7.21875" customWidth="1"/>
    <col min="10" max="10" width="4.77734375" customWidth="1"/>
    <col min="11" max="11" width="18.77734375" customWidth="1"/>
    <col min="12" max="12" width="17.21875" customWidth="1"/>
    <col min="13" max="13" width="9.5546875" customWidth="1"/>
    <col min="14" max="14" width="13.21875" customWidth="1"/>
    <col min="15" max="15" width="16.77734375" customWidth="1"/>
    <col min="16" max="16" width="13.21875" customWidth="1"/>
    <col min="17" max="17" width="8.21875" customWidth="1"/>
    <col min="18" max="19" width="16.77734375" customWidth="1"/>
    <col min="20" max="20" width="13.44140625" customWidth="1"/>
    <col min="21" max="21" width="5.5546875" customWidth="1"/>
    <col min="22" max="22" width="10.77734375" customWidth="1"/>
    <col min="23" max="23" width="4.77734375" customWidth="1"/>
    <col min="24" max="24" width="5.77734375" customWidth="1"/>
    <col min="25" max="25" width="27.77734375" customWidth="1"/>
    <col min="26" max="26" width="12.5546875" customWidth="1"/>
    <col min="27" max="27" width="4.5546875" customWidth="1"/>
    <col min="28" max="29" width="4.77734375" customWidth="1"/>
    <col min="30" max="30" width="5.77734375" customWidth="1"/>
    <col min="31" max="31" width="9.44140625" customWidth="1"/>
    <col min="32" max="32" width="8.44140625" customWidth="1"/>
    <col min="33" max="33" width="6.5546875" customWidth="1"/>
    <col min="34" max="34" width="9.77734375" customWidth="1"/>
    <col min="35" max="35" width="6.5546875" customWidth="1"/>
    <col min="36" max="36" width="5.77734375" customWidth="1"/>
    <col min="37" max="37" width="5.5546875" customWidth="1"/>
    <col min="38" max="39" width="5.44140625" customWidth="1"/>
    <col min="40" max="41" width="5.77734375" customWidth="1"/>
    <col min="42" max="43" width="8.21875" customWidth="1"/>
    <col min="44" max="44" width="7" customWidth="1"/>
    <col min="45" max="45" width="5.5546875" customWidth="1"/>
    <col min="46" max="46" width="4" customWidth="1"/>
    <col min="47" max="47" width="4.77734375" customWidth="1"/>
    <col min="48" max="48" width="8.21875" customWidth="1"/>
    <col min="49" max="49" width="17.77734375" customWidth="1"/>
    <col min="50" max="50" width="21.5546875" customWidth="1"/>
    <col min="51" max="52" width="20.77734375" customWidth="1"/>
    <col min="53" max="53" width="21" customWidth="1"/>
    <col min="54" max="55" width="17.5546875" customWidth="1"/>
    <col min="56" max="58" width="14.21875" customWidth="1"/>
    <col min="59" max="59" width="15.5546875" customWidth="1"/>
    <col min="61" max="61" width="11.5546875" customWidth="1"/>
    <col min="62" max="62" width="15.21875" customWidth="1"/>
    <col min="63" max="63" width="12.21875" customWidth="1"/>
    <col min="64" max="64" width="10.21875" customWidth="1"/>
    <col min="65" max="65" width="19.77734375" customWidth="1"/>
    <col min="66" max="66" width="14.44140625" customWidth="1"/>
    <col min="67" max="67" width="12.21875" customWidth="1"/>
    <col min="68" max="68" width="16.21875" customWidth="1"/>
    <col min="70" max="70" width="11.5546875" customWidth="1"/>
    <col min="71" max="71" width="19.21875" customWidth="1"/>
    <col min="72" max="72" width="15.77734375" customWidth="1"/>
    <col min="73" max="73" width="14.44140625" customWidth="1"/>
    <col min="74" max="74" width="17.21875" customWidth="1"/>
    <col min="75" max="75" width="22.5546875" customWidth="1"/>
    <col min="86" max="86" width="35" customWidth="1"/>
  </cols>
  <sheetData>
    <row r="1" spans="1:86" s="15" customFormat="1" ht="14.1" customHeight="1" x14ac:dyDescent="0.3">
      <c r="A1" s="1" t="s">
        <v>0</v>
      </c>
      <c r="B1" s="2" t="s">
        <v>1</v>
      </c>
      <c r="C1" s="3" t="s">
        <v>2</v>
      </c>
      <c r="D1" s="4" t="s">
        <v>3</v>
      </c>
      <c r="E1" s="4" t="s">
        <v>4</v>
      </c>
      <c r="F1" s="1" t="s">
        <v>5</v>
      </c>
      <c r="G1" s="1" t="s">
        <v>6</v>
      </c>
      <c r="H1" s="1" t="s">
        <v>7</v>
      </c>
      <c r="I1" s="1" t="s">
        <v>8</v>
      </c>
      <c r="J1" s="1" t="s">
        <v>9</v>
      </c>
      <c r="K1" s="5" t="s">
        <v>10</v>
      </c>
      <c r="L1" s="5" t="s">
        <v>11</v>
      </c>
      <c r="M1" s="6" t="s">
        <v>12</v>
      </c>
      <c r="N1" s="6" t="s">
        <v>13</v>
      </c>
      <c r="O1" s="6" t="s">
        <v>14</v>
      </c>
      <c r="P1" s="6" t="s">
        <v>15</v>
      </c>
      <c r="Q1" s="6" t="s">
        <v>16</v>
      </c>
      <c r="R1" s="6" t="s">
        <v>17</v>
      </c>
      <c r="S1" s="6" t="s">
        <v>18</v>
      </c>
      <c r="T1" s="6" t="s">
        <v>19</v>
      </c>
      <c r="U1" s="6" t="s">
        <v>20</v>
      </c>
      <c r="V1" s="6" t="s">
        <v>21</v>
      </c>
      <c r="W1" s="6" t="s">
        <v>22</v>
      </c>
      <c r="X1" s="6" t="s">
        <v>23</v>
      </c>
      <c r="Y1" s="6" t="s">
        <v>24</v>
      </c>
      <c r="Z1" s="6" t="s">
        <v>25</v>
      </c>
      <c r="AA1" s="6" t="s">
        <v>26</v>
      </c>
      <c r="AB1" s="6" t="s">
        <v>27</v>
      </c>
      <c r="AC1" s="6" t="s">
        <v>28</v>
      </c>
      <c r="AD1" s="6" t="s">
        <v>29</v>
      </c>
      <c r="AE1" s="6" t="s">
        <v>30</v>
      </c>
      <c r="AF1" s="6" t="s">
        <v>31</v>
      </c>
      <c r="AG1" s="6" t="s">
        <v>32</v>
      </c>
      <c r="AH1" s="6" t="s">
        <v>33</v>
      </c>
      <c r="AI1" s="6" t="s">
        <v>34</v>
      </c>
      <c r="AJ1" s="7" t="s">
        <v>35</v>
      </c>
      <c r="AK1" s="7" t="s">
        <v>36</v>
      </c>
      <c r="AL1" s="7" t="s">
        <v>37</v>
      </c>
      <c r="AM1" s="7" t="s">
        <v>38</v>
      </c>
      <c r="AN1" s="7" t="s">
        <v>39</v>
      </c>
      <c r="AO1" s="7" t="s">
        <v>40</v>
      </c>
      <c r="AP1" s="8" t="s">
        <v>41</v>
      </c>
      <c r="AQ1" s="8" t="s">
        <v>42</v>
      </c>
      <c r="AR1" s="8" t="s">
        <v>43</v>
      </c>
      <c r="AS1" s="8" t="s">
        <v>44</v>
      </c>
      <c r="AT1" s="8" t="s">
        <v>45</v>
      </c>
      <c r="AU1" s="8" t="s">
        <v>46</v>
      </c>
      <c r="AV1" s="9" t="s">
        <v>47</v>
      </c>
      <c r="AW1" s="9" t="s">
        <v>48</v>
      </c>
      <c r="AX1" s="10" t="s">
        <v>49</v>
      </c>
      <c r="AY1" s="10" t="s">
        <v>50</v>
      </c>
      <c r="AZ1" s="10" t="s">
        <v>51</v>
      </c>
      <c r="BA1" s="10" t="s">
        <v>52</v>
      </c>
      <c r="BB1" s="10" t="s">
        <v>53</v>
      </c>
      <c r="BC1" s="10" t="s">
        <v>54</v>
      </c>
      <c r="BD1" s="10" t="s">
        <v>55</v>
      </c>
      <c r="BE1" s="10" t="s">
        <v>56</v>
      </c>
      <c r="BF1" s="9" t="s">
        <v>57</v>
      </c>
      <c r="BG1" s="9" t="s">
        <v>58</v>
      </c>
      <c r="BH1" s="9" t="s">
        <v>59</v>
      </c>
      <c r="BI1" s="9" t="s">
        <v>60</v>
      </c>
      <c r="BJ1" s="9" t="s">
        <v>61</v>
      </c>
      <c r="BK1" s="9" t="s">
        <v>62</v>
      </c>
      <c r="BL1" s="9" t="s">
        <v>63</v>
      </c>
      <c r="BM1" s="9" t="s">
        <v>64</v>
      </c>
      <c r="BN1" s="11" t="s">
        <v>65</v>
      </c>
      <c r="BO1" s="3" t="s">
        <v>66</v>
      </c>
      <c r="BP1" s="11" t="s">
        <v>67</v>
      </c>
      <c r="BQ1" s="11" t="s">
        <v>68</v>
      </c>
      <c r="BR1" s="3" t="s">
        <v>69</v>
      </c>
      <c r="BS1" s="12" t="s">
        <v>70</v>
      </c>
      <c r="BT1" s="13" t="s">
        <v>71</v>
      </c>
      <c r="BU1" s="13" t="s">
        <v>72</v>
      </c>
      <c r="BV1" s="13" t="s">
        <v>73</v>
      </c>
      <c r="BW1" s="13" t="s">
        <v>74</v>
      </c>
      <c r="BX1" s="14" t="s">
        <v>75</v>
      </c>
      <c r="BY1" s="15" t="s">
        <v>76</v>
      </c>
      <c r="BZ1" s="16" t="s">
        <v>77</v>
      </c>
      <c r="CA1" s="17" t="s">
        <v>78</v>
      </c>
      <c r="CB1" s="18" t="s">
        <v>79</v>
      </c>
      <c r="CC1" s="18" t="s">
        <v>80</v>
      </c>
      <c r="CD1" s="15" t="s">
        <v>81</v>
      </c>
      <c r="CE1" s="15" t="s">
        <v>82</v>
      </c>
      <c r="CF1" s="15" t="s">
        <v>83</v>
      </c>
      <c r="CG1" s="15" t="s">
        <v>84</v>
      </c>
      <c r="CH1" s="15" t="s">
        <v>85</v>
      </c>
    </row>
    <row r="2" spans="1:86" ht="15.6" x14ac:dyDescent="0.3">
      <c r="A2">
        <v>1</v>
      </c>
      <c r="B2" s="20" t="s">
        <v>86</v>
      </c>
      <c r="C2" t="s">
        <v>87</v>
      </c>
      <c r="D2" s="21">
        <v>-6.3196070000000004</v>
      </c>
      <c r="E2" s="22">
        <v>23.807227000000001</v>
      </c>
      <c r="F2" s="23">
        <v>645</v>
      </c>
      <c r="G2" t="s">
        <v>88</v>
      </c>
      <c r="H2" t="s">
        <v>89</v>
      </c>
      <c r="I2" t="s">
        <v>90</v>
      </c>
      <c r="J2" t="s">
        <v>91</v>
      </c>
      <c r="K2" t="s">
        <v>92</v>
      </c>
      <c r="L2" t="s">
        <v>92</v>
      </c>
      <c r="M2">
        <f>(100*150)/10000</f>
        <v>1.5</v>
      </c>
      <c r="N2">
        <f>(25*50)/10000</f>
        <v>0.125</v>
      </c>
      <c r="O2" t="s">
        <v>92</v>
      </c>
      <c r="P2" t="s">
        <v>93</v>
      </c>
      <c r="Q2">
        <v>100</v>
      </c>
      <c r="R2" s="19">
        <v>44805</v>
      </c>
      <c r="S2" s="19">
        <v>44927</v>
      </c>
      <c r="T2" t="s">
        <v>92</v>
      </c>
      <c r="U2" t="s">
        <v>94</v>
      </c>
      <c r="V2" t="s">
        <v>95</v>
      </c>
      <c r="W2">
        <v>10</v>
      </c>
      <c r="X2" t="s">
        <v>96</v>
      </c>
      <c r="Y2" t="s">
        <v>97</v>
      </c>
      <c r="Z2">
        <v>2</v>
      </c>
      <c r="AA2" t="s">
        <v>98</v>
      </c>
      <c r="AB2" t="s">
        <v>99</v>
      </c>
      <c r="AC2" t="s">
        <v>100</v>
      </c>
      <c r="AD2">
        <v>9</v>
      </c>
      <c r="AE2" s="24">
        <f t="shared" ref="AE2:AE65" si="0">AD2/(N2*Q2/100)</f>
        <v>72</v>
      </c>
      <c r="AF2" t="s">
        <v>100</v>
      </c>
      <c r="AG2" t="s">
        <v>101</v>
      </c>
      <c r="AH2" t="s">
        <v>102</v>
      </c>
      <c r="AI2" t="s">
        <v>103</v>
      </c>
      <c r="AJ2" t="s">
        <v>103</v>
      </c>
      <c r="AK2" t="s">
        <v>103</v>
      </c>
      <c r="AL2" t="s">
        <v>103</v>
      </c>
      <c r="AM2" t="s">
        <v>103</v>
      </c>
      <c r="AN2" t="s">
        <v>103</v>
      </c>
      <c r="AO2" s="25" t="s">
        <v>103</v>
      </c>
      <c r="AP2" t="s">
        <v>104</v>
      </c>
      <c r="AQ2" t="s">
        <v>103</v>
      </c>
      <c r="AR2">
        <v>0</v>
      </c>
      <c r="AS2" t="s">
        <v>100</v>
      </c>
      <c r="AT2" t="s">
        <v>103</v>
      </c>
      <c r="AU2" t="s">
        <v>95</v>
      </c>
      <c r="AV2" t="s">
        <v>105</v>
      </c>
      <c r="AW2" t="s">
        <v>106</v>
      </c>
      <c r="AX2">
        <f>(25*4/$N2)</f>
        <v>800</v>
      </c>
      <c r="AY2">
        <f>(15*4/$N2)</f>
        <v>480</v>
      </c>
      <c r="AZ2">
        <f>AX2+AX2*((100-Q2)/100)</f>
        <v>800</v>
      </c>
      <c r="BA2">
        <f>AY2+AY2*((100-Q2)/100)</f>
        <v>480</v>
      </c>
      <c r="BB2" t="s">
        <v>90</v>
      </c>
      <c r="BC2" t="s">
        <v>90</v>
      </c>
      <c r="BD2" t="s">
        <v>90</v>
      </c>
      <c r="BE2" t="s">
        <v>90</v>
      </c>
      <c r="BF2">
        <v>1</v>
      </c>
      <c r="BG2">
        <f>7000/4</f>
        <v>1750</v>
      </c>
      <c r="BH2" t="s">
        <v>90</v>
      </c>
      <c r="BI2" t="s">
        <v>90</v>
      </c>
      <c r="BJ2" t="s">
        <v>107</v>
      </c>
      <c r="BK2" t="s">
        <v>108</v>
      </c>
      <c r="BL2">
        <v>14</v>
      </c>
      <c r="BM2" t="s">
        <v>109</v>
      </c>
      <c r="BN2" t="s">
        <v>110</v>
      </c>
      <c r="BO2">
        <v>1</v>
      </c>
      <c r="BP2" t="s">
        <v>111</v>
      </c>
      <c r="BQ2" t="s">
        <v>112</v>
      </c>
      <c r="BR2">
        <v>5.3</v>
      </c>
      <c r="BS2">
        <v>5.8099999999999999E-2</v>
      </c>
      <c r="BT2" s="26">
        <v>9.327</v>
      </c>
      <c r="BU2" s="26">
        <v>15.225</v>
      </c>
      <c r="BV2" s="26">
        <v>75.447999999999993</v>
      </c>
      <c r="BW2" s="26" t="s">
        <v>113</v>
      </c>
      <c r="BX2" s="26">
        <v>39</v>
      </c>
      <c r="BY2">
        <v>32.723446500000001</v>
      </c>
      <c r="BZ2" s="26">
        <v>14.276553499999999</v>
      </c>
      <c r="CA2" s="26">
        <v>47</v>
      </c>
      <c r="CB2">
        <f>IF(AZ2&lt;&gt;"NA",(10000/AZ2)*(125/365),(10000/BA2)*(125/365))</f>
        <v>4.2808219178082192</v>
      </c>
      <c r="CC2">
        <f>IF(BA2&lt;&gt;"NA",(10000/BA2)*(125/365),(10000/AZ2)*(125/365))</f>
        <v>7.1347031963470311</v>
      </c>
      <c r="CD2">
        <f>AE2/AVERAGE(AZ2,BA2)</f>
        <v>0.1125</v>
      </c>
      <c r="CE2">
        <f>1.911*IF(AX2&lt;&gt;"NA", AVERAGE(AX2,AY2), AVERAGE(AZ2,BA2))</f>
        <v>1223.04</v>
      </c>
      <c r="CF2">
        <v>20</v>
      </c>
      <c r="CG2" s="27">
        <f>(CF2/N2)/IF(AX2&lt;&gt;"NA", AX2,AY2)</f>
        <v>0.2</v>
      </c>
      <c r="CH2">
        <f>CF2/N2</f>
        <v>160</v>
      </c>
    </row>
    <row r="3" spans="1:86" ht="15.6" x14ac:dyDescent="0.3">
      <c r="A3">
        <v>2</v>
      </c>
      <c r="B3" s="20" t="s">
        <v>114</v>
      </c>
      <c r="C3" t="s">
        <v>87</v>
      </c>
      <c r="D3" s="21">
        <v>-6.3324930000000004</v>
      </c>
      <c r="E3" s="22">
        <v>23.787734</v>
      </c>
      <c r="F3">
        <v>627</v>
      </c>
      <c r="G3" t="s">
        <v>88</v>
      </c>
      <c r="H3" t="s">
        <v>89</v>
      </c>
      <c r="I3" t="s">
        <v>90</v>
      </c>
      <c r="J3" t="s">
        <v>115</v>
      </c>
      <c r="K3" t="s">
        <v>116</v>
      </c>
      <c r="L3" t="s">
        <v>92</v>
      </c>
      <c r="M3">
        <f>(50*50)/10000</f>
        <v>0.25</v>
      </c>
      <c r="N3">
        <f>(25*50)/10000</f>
        <v>0.125</v>
      </c>
      <c r="O3" t="s">
        <v>92</v>
      </c>
      <c r="P3" t="s">
        <v>117</v>
      </c>
      <c r="Q3">
        <v>100</v>
      </c>
      <c r="R3" s="19">
        <v>44805</v>
      </c>
      <c r="S3" s="19">
        <v>44941</v>
      </c>
      <c r="T3" t="s">
        <v>116</v>
      </c>
      <c r="U3" t="s">
        <v>118</v>
      </c>
      <c r="V3" t="s">
        <v>95</v>
      </c>
      <c r="W3">
        <v>10</v>
      </c>
      <c r="X3" t="s">
        <v>96</v>
      </c>
      <c r="Y3" t="s">
        <v>97</v>
      </c>
      <c r="Z3">
        <v>2</v>
      </c>
      <c r="AA3" t="s">
        <v>98</v>
      </c>
      <c r="AB3" t="s">
        <v>99</v>
      </c>
      <c r="AC3" t="s">
        <v>100</v>
      </c>
      <c r="AD3">
        <v>8</v>
      </c>
      <c r="AE3" s="24">
        <f t="shared" si="0"/>
        <v>64</v>
      </c>
      <c r="AF3" t="s">
        <v>100</v>
      </c>
      <c r="AG3" t="s">
        <v>101</v>
      </c>
      <c r="AH3" t="s">
        <v>119</v>
      </c>
      <c r="AI3" t="s">
        <v>103</v>
      </c>
      <c r="AJ3" t="s">
        <v>120</v>
      </c>
      <c r="AK3" t="s">
        <v>121</v>
      </c>
      <c r="AL3" t="s">
        <v>122</v>
      </c>
      <c r="AM3">
        <v>2</v>
      </c>
      <c r="AN3" t="s">
        <v>123</v>
      </c>
      <c r="AO3" t="s">
        <v>124</v>
      </c>
      <c r="AP3" t="s">
        <v>104</v>
      </c>
      <c r="AQ3" t="s">
        <v>103</v>
      </c>
      <c r="AR3">
        <v>0</v>
      </c>
      <c r="AS3" t="s">
        <v>100</v>
      </c>
      <c r="AT3" s="25" t="s">
        <v>90</v>
      </c>
      <c r="AU3" t="s">
        <v>95</v>
      </c>
      <c r="AV3" s="25" t="s">
        <v>90</v>
      </c>
      <c r="AW3" t="s">
        <v>125</v>
      </c>
      <c r="AX3">
        <f>(42*4/$N3)</f>
        <v>1344</v>
      </c>
      <c r="AY3">
        <f>(25*4/$N3)</f>
        <v>800</v>
      </c>
      <c r="AZ3">
        <f>AX3+AX3*((100-Q3)/100)</f>
        <v>1344</v>
      </c>
      <c r="BA3">
        <f>AY3+AY3*((100-Q3)/100)</f>
        <v>800</v>
      </c>
      <c r="BB3" t="s">
        <v>90</v>
      </c>
      <c r="BC3" t="s">
        <v>90</v>
      </c>
      <c r="BD3" t="s">
        <v>90</v>
      </c>
      <c r="BE3" t="s">
        <v>90</v>
      </c>
      <c r="BF3">
        <v>1</v>
      </c>
      <c r="BG3">
        <f>5000/4</f>
        <v>1250</v>
      </c>
      <c r="BH3">
        <f>2700/4</f>
        <v>675</v>
      </c>
      <c r="BI3" t="s">
        <v>90</v>
      </c>
      <c r="BJ3" t="s">
        <v>126</v>
      </c>
      <c r="BK3" s="25" t="s">
        <v>90</v>
      </c>
      <c r="BL3">
        <v>14</v>
      </c>
      <c r="BM3" t="s">
        <v>109</v>
      </c>
      <c r="BN3" t="s">
        <v>110</v>
      </c>
      <c r="BO3">
        <v>1</v>
      </c>
      <c r="BP3" t="s">
        <v>127</v>
      </c>
      <c r="BQ3" t="s">
        <v>112</v>
      </c>
      <c r="BR3">
        <v>5.58</v>
      </c>
      <c r="BS3" s="24">
        <v>3.1800000000000002E-2</v>
      </c>
      <c r="BT3" s="26">
        <v>7.6124881000000002</v>
      </c>
      <c r="BU3" s="26">
        <v>12.915494000000001</v>
      </c>
      <c r="BV3" s="26">
        <v>79.472016999999994</v>
      </c>
      <c r="BW3" s="26" t="s">
        <v>113</v>
      </c>
      <c r="BX3" s="26">
        <v>39</v>
      </c>
      <c r="BY3" s="26">
        <v>15.443999999999999</v>
      </c>
      <c r="BZ3" s="26">
        <v>31.556000000000001</v>
      </c>
      <c r="CA3" s="26">
        <v>47</v>
      </c>
      <c r="CB3">
        <f>IF(AZ3&lt;&gt;"NA",(10000/AZ3)*(125/365),(10000/BA3)*(125/365))</f>
        <v>2.5481082844096541</v>
      </c>
      <c r="CC3">
        <f>IF(BA3&lt;&gt;"NA",(10000/BA3)*(125/365),(10000/AZ3)*(125/365))</f>
        <v>4.2808219178082192</v>
      </c>
      <c r="CD3">
        <f>AE3/AVERAGE(AZ3,BA3)</f>
        <v>5.9701492537313432E-2</v>
      </c>
      <c r="CE3">
        <f>1.911*IF(AX3&lt;&gt;"NA", AVERAGE(AX3,AY3), AVERAGE(AZ3,BA3))</f>
        <v>2048.5920000000001</v>
      </c>
      <c r="CF3">
        <v>30</v>
      </c>
      <c r="CG3" s="27">
        <f>(CF3/N3)/IF(AX3&lt;&gt;"NA", AX3,AY3)</f>
        <v>0.17857142857142858</v>
      </c>
      <c r="CH3">
        <f>CF3/N3</f>
        <v>240</v>
      </c>
    </row>
    <row r="4" spans="1:86" ht="15.6" x14ac:dyDescent="0.3">
      <c r="A4">
        <v>3</v>
      </c>
      <c r="B4" s="20" t="s">
        <v>128</v>
      </c>
      <c r="C4" t="s">
        <v>87</v>
      </c>
      <c r="D4" s="21">
        <v>-6.3509140000000004</v>
      </c>
      <c r="E4" s="22">
        <v>23.804006000000001</v>
      </c>
      <c r="F4">
        <v>634</v>
      </c>
      <c r="G4" t="s">
        <v>88</v>
      </c>
      <c r="H4" t="s">
        <v>89</v>
      </c>
      <c r="I4" t="s">
        <v>90</v>
      </c>
      <c r="J4" t="s">
        <v>115</v>
      </c>
      <c r="K4" t="s">
        <v>129</v>
      </c>
      <c r="L4" t="s">
        <v>129</v>
      </c>
      <c r="M4">
        <f>1240/10000</f>
        <v>0.124</v>
      </c>
      <c r="N4">
        <f>1240/10000</f>
        <v>0.124</v>
      </c>
      <c r="O4" t="s">
        <v>129</v>
      </c>
      <c r="P4" t="s">
        <v>93</v>
      </c>
      <c r="Q4">
        <v>60</v>
      </c>
      <c r="R4" s="19">
        <v>44814</v>
      </c>
      <c r="S4" s="19">
        <v>44941</v>
      </c>
      <c r="T4" t="s">
        <v>129</v>
      </c>
      <c r="U4" t="s">
        <v>130</v>
      </c>
      <c r="V4" t="s">
        <v>95</v>
      </c>
      <c r="W4">
        <v>10</v>
      </c>
      <c r="X4" t="s">
        <v>96</v>
      </c>
      <c r="Y4" t="s">
        <v>101</v>
      </c>
      <c r="Z4">
        <v>1</v>
      </c>
      <c r="AA4" t="s">
        <v>98</v>
      </c>
      <c r="AB4" t="s">
        <v>99</v>
      </c>
      <c r="AC4" t="s">
        <v>100</v>
      </c>
      <c r="AD4">
        <v>4</v>
      </c>
      <c r="AE4" s="24">
        <f t="shared" si="0"/>
        <v>53.763440860215056</v>
      </c>
      <c r="AF4" t="s">
        <v>100</v>
      </c>
      <c r="AG4" t="s">
        <v>101</v>
      </c>
      <c r="AH4" t="s">
        <v>102</v>
      </c>
      <c r="AI4" t="s">
        <v>103</v>
      </c>
      <c r="AJ4" t="s">
        <v>103</v>
      </c>
      <c r="AK4" t="s">
        <v>103</v>
      </c>
      <c r="AL4" t="s">
        <v>103</v>
      </c>
      <c r="AM4" t="s">
        <v>103</v>
      </c>
      <c r="AN4" t="s">
        <v>103</v>
      </c>
      <c r="AO4" t="s">
        <v>103</v>
      </c>
      <c r="AP4" s="25" t="s">
        <v>90</v>
      </c>
      <c r="AQ4" t="s">
        <v>103</v>
      </c>
      <c r="AR4">
        <v>0</v>
      </c>
      <c r="AS4" t="s">
        <v>100</v>
      </c>
      <c r="AT4" s="25" t="s">
        <v>90</v>
      </c>
      <c r="AU4" t="s">
        <v>100</v>
      </c>
      <c r="AV4" s="25" t="s">
        <v>90</v>
      </c>
      <c r="AW4" t="s">
        <v>131</v>
      </c>
      <c r="AX4">
        <f>(10*4/$N4)</f>
        <v>322.58064516129031</v>
      </c>
      <c r="AY4">
        <f>(5*4/$N4)</f>
        <v>161.29032258064515</v>
      </c>
      <c r="AZ4">
        <f>AX4+AX4*((100-Q4)/100)</f>
        <v>451.61290322580646</v>
      </c>
      <c r="BA4">
        <f>AY4+AY4*((100-Q4)/100)</f>
        <v>225.80645161290323</v>
      </c>
      <c r="BB4" t="s">
        <v>90</v>
      </c>
      <c r="BC4" t="s">
        <v>90</v>
      </c>
      <c r="BD4">
        <f>(11*4/$N4)</f>
        <v>354.83870967741933</v>
      </c>
      <c r="BE4">
        <f>BD4+(BD4*Q4)/(100-Q4)</f>
        <v>887.0967741935483</v>
      </c>
      <c r="BF4">
        <f>AX4/AZ4+BD4/BE4</f>
        <v>1.1142857142857143</v>
      </c>
      <c r="BG4">
        <f>5000/4</f>
        <v>1250</v>
      </c>
      <c r="BH4" t="s">
        <v>90</v>
      </c>
      <c r="BI4" t="s">
        <v>90</v>
      </c>
      <c r="BJ4" t="s">
        <v>107</v>
      </c>
      <c r="BK4" t="s">
        <v>101</v>
      </c>
      <c r="BL4">
        <v>14</v>
      </c>
      <c r="BM4" t="s">
        <v>109</v>
      </c>
      <c r="BN4" t="s">
        <v>110</v>
      </c>
      <c r="BO4">
        <v>0</v>
      </c>
      <c r="BP4" t="s">
        <v>132</v>
      </c>
      <c r="BQ4" t="str">
        <f>IF(AND(BP4="Not member",G4="KasaiLomami"),"VC3", "VC1 or VC2")</f>
        <v>VC3</v>
      </c>
      <c r="BR4">
        <v>5.73</v>
      </c>
      <c r="BS4" s="24">
        <v>2.93E-2</v>
      </c>
      <c r="BT4" s="26">
        <v>3.1633492830000001</v>
      </c>
      <c r="BU4" s="26">
        <v>9.3416169999999994</v>
      </c>
      <c r="BV4" s="26">
        <v>87.495019999999997</v>
      </c>
      <c r="BW4" s="26" t="s">
        <v>113</v>
      </c>
      <c r="BX4" s="26">
        <v>39</v>
      </c>
      <c r="BY4" s="26">
        <v>15.510000000000002</v>
      </c>
      <c r="BZ4" s="26">
        <v>31.49</v>
      </c>
      <c r="CA4" s="26">
        <v>47</v>
      </c>
      <c r="CB4">
        <f>IF(AZ4&lt;&gt;"NA",(10000/AZ4)*(125/365),(10000/BA4)*(125/365))</f>
        <v>7.5831702544031305</v>
      </c>
      <c r="CC4">
        <f>IF(BA4&lt;&gt;"NA",(10000/BA4)*(125/365),(10000/AZ4)*(125/365))</f>
        <v>15.166340508806261</v>
      </c>
      <c r="CD4">
        <f>AE4/AVERAGE(AZ4,BA4)</f>
        <v>0.15873015873015872</v>
      </c>
      <c r="CE4">
        <f>1.911*IF(AX4&lt;&gt;"NA", AVERAGE(AX4,AY4), AVERAGE(AZ4,BA4))</f>
        <v>462.33870967741939</v>
      </c>
      <c r="CF4">
        <v>0</v>
      </c>
      <c r="CG4" s="27">
        <f>(CF4/N4)/IF(AX4&lt;&gt;"NA", AX4,AY4)</f>
        <v>0</v>
      </c>
      <c r="CH4">
        <f>CF4/N4</f>
        <v>0</v>
      </c>
    </row>
    <row r="5" spans="1:86" ht="15.6" x14ac:dyDescent="0.3">
      <c r="A5">
        <v>4</v>
      </c>
      <c r="B5" s="20" t="s">
        <v>133</v>
      </c>
      <c r="C5" t="s">
        <v>134</v>
      </c>
      <c r="D5" s="28">
        <v>-6.8058281999999997</v>
      </c>
      <c r="E5">
        <v>23.904693999999999</v>
      </c>
      <c r="F5">
        <v>711</v>
      </c>
      <c r="G5" t="s">
        <v>88</v>
      </c>
      <c r="H5" t="s">
        <v>135</v>
      </c>
      <c r="I5">
        <v>43</v>
      </c>
      <c r="J5" t="s">
        <v>115</v>
      </c>
      <c r="K5" t="s">
        <v>136</v>
      </c>
      <c r="L5" t="s">
        <v>137</v>
      </c>
      <c r="M5">
        <f>50*50/10000</f>
        <v>0.25</v>
      </c>
      <c r="N5">
        <f>50*50/10000</f>
        <v>0.25</v>
      </c>
      <c r="O5" t="s">
        <v>138</v>
      </c>
      <c r="P5" t="s">
        <v>139</v>
      </c>
      <c r="Q5">
        <v>40</v>
      </c>
      <c r="R5" s="19">
        <v>44805</v>
      </c>
      <c r="S5" s="19">
        <v>44931</v>
      </c>
      <c r="T5" t="s">
        <v>140</v>
      </c>
      <c r="U5" t="s">
        <v>141</v>
      </c>
      <c r="V5" t="s">
        <v>95</v>
      </c>
      <c r="W5">
        <v>10</v>
      </c>
      <c r="X5" t="s">
        <v>100</v>
      </c>
      <c r="Y5" t="s">
        <v>97</v>
      </c>
      <c r="Z5">
        <v>2</v>
      </c>
      <c r="AA5" t="s">
        <v>98</v>
      </c>
      <c r="AB5" t="s">
        <v>142</v>
      </c>
      <c r="AC5" t="s">
        <v>100</v>
      </c>
      <c r="AD5">
        <v>4</v>
      </c>
      <c r="AE5" s="24">
        <f t="shared" si="0"/>
        <v>40</v>
      </c>
      <c r="AF5" t="s">
        <v>100</v>
      </c>
      <c r="AG5" t="s">
        <v>101</v>
      </c>
      <c r="AH5" t="s">
        <v>119</v>
      </c>
      <c r="AI5" t="s">
        <v>103</v>
      </c>
      <c r="AJ5" t="s">
        <v>103</v>
      </c>
      <c r="AK5" t="s">
        <v>103</v>
      </c>
      <c r="AL5" t="s">
        <v>103</v>
      </c>
      <c r="AM5" t="s">
        <v>103</v>
      </c>
      <c r="AN5" t="s">
        <v>103</v>
      </c>
      <c r="AO5" t="s">
        <v>103</v>
      </c>
      <c r="AP5" t="s">
        <v>143</v>
      </c>
      <c r="AQ5" s="25" t="s">
        <v>90</v>
      </c>
      <c r="AR5">
        <v>0</v>
      </c>
      <c r="AS5" t="s">
        <v>100</v>
      </c>
      <c r="AT5" t="s">
        <v>103</v>
      </c>
      <c r="AU5" t="s">
        <v>144</v>
      </c>
      <c r="AV5" t="s">
        <v>105</v>
      </c>
      <c r="AW5" t="s">
        <v>125</v>
      </c>
      <c r="AX5">
        <f>(80/$N5)</f>
        <v>320</v>
      </c>
      <c r="AY5">
        <f>(60/$N5)</f>
        <v>240</v>
      </c>
      <c r="AZ5">
        <f>AX5+AX5*((100-Q5)/100)</f>
        <v>512</v>
      </c>
      <c r="BA5">
        <f>AY5+AY5*((100-Q5)/100)</f>
        <v>384</v>
      </c>
      <c r="BB5" t="s">
        <v>90</v>
      </c>
      <c r="BC5" t="s">
        <v>90</v>
      </c>
      <c r="BD5">
        <f>(30*4/$N5)</f>
        <v>480</v>
      </c>
      <c r="BE5">
        <f>BD5+(BD5*Q5)/(100-Q5)</f>
        <v>800</v>
      </c>
      <c r="BF5">
        <f>AX5/AZ5+BD5/BE5</f>
        <v>1.2250000000000001</v>
      </c>
      <c r="BG5">
        <f>5500/4</f>
        <v>1375</v>
      </c>
      <c r="BH5">
        <f>2500/4</f>
        <v>625</v>
      </c>
      <c r="BI5" t="s">
        <v>90</v>
      </c>
      <c r="BJ5" t="s">
        <v>142</v>
      </c>
      <c r="BK5" t="s">
        <v>108</v>
      </c>
      <c r="BL5">
        <v>14</v>
      </c>
      <c r="BM5" t="s">
        <v>109</v>
      </c>
      <c r="BN5" t="s">
        <v>110</v>
      </c>
      <c r="BO5">
        <v>1</v>
      </c>
      <c r="BP5" t="s">
        <v>145</v>
      </c>
      <c r="BQ5" t="s">
        <v>146</v>
      </c>
      <c r="BR5">
        <v>5.6054061704221496</v>
      </c>
      <c r="BS5" s="24">
        <v>0.16593373692369401</v>
      </c>
      <c r="BT5" s="26"/>
      <c r="BU5" s="26"/>
      <c r="BV5" s="26"/>
      <c r="BW5" s="26"/>
      <c r="BX5" s="26">
        <v>47</v>
      </c>
      <c r="BY5" s="26">
        <v>41.415012000000004</v>
      </c>
      <c r="BZ5" s="26">
        <v>5.5849879999999956</v>
      </c>
      <c r="CA5" s="26">
        <v>47</v>
      </c>
      <c r="CB5">
        <f>IF(AZ5&lt;&gt;"NA",(10000/AZ5)*(125/365),(10000/BA5)*(125/365))</f>
        <v>6.6887842465753424</v>
      </c>
      <c r="CC5">
        <f>IF(BA5&lt;&gt;"NA",(10000/BA5)*(125/365),(10000/AZ5)*(125/365))</f>
        <v>8.9183789954337893</v>
      </c>
      <c r="CD5">
        <f>AE5/AVERAGE(AZ5,BA5)</f>
        <v>8.9285714285714288E-2</v>
      </c>
      <c r="CE5">
        <f>1.911*IF(AX5&lt;&gt;"NA", AVERAGE(AX5,AY5), AVERAGE(AZ5,BA5))</f>
        <v>535.08000000000004</v>
      </c>
      <c r="CF5">
        <v>0</v>
      </c>
      <c r="CG5" s="27">
        <f>(CF5/N5)/IF(AX5&lt;&gt;"NA", AX5,AY5)</f>
        <v>0</v>
      </c>
      <c r="CH5">
        <f>CF5/N5</f>
        <v>0</v>
      </c>
    </row>
    <row r="6" spans="1:86" ht="15.6" x14ac:dyDescent="0.3">
      <c r="A6">
        <v>5</v>
      </c>
      <c r="B6" s="20" t="s">
        <v>147</v>
      </c>
      <c r="C6" t="s">
        <v>87</v>
      </c>
      <c r="D6" s="22">
        <v>-6.8159723000000003</v>
      </c>
      <c r="E6" s="22">
        <v>23.9107129</v>
      </c>
      <c r="F6">
        <v>736</v>
      </c>
      <c r="G6" t="s">
        <v>88</v>
      </c>
      <c r="H6" t="s">
        <v>135</v>
      </c>
      <c r="I6">
        <v>37</v>
      </c>
      <c r="J6" t="s">
        <v>115</v>
      </c>
      <c r="K6" t="s">
        <v>148</v>
      </c>
      <c r="L6" t="s">
        <v>92</v>
      </c>
      <c r="M6">
        <f>60*30/10000</f>
        <v>0.18</v>
      </c>
      <c r="N6">
        <f>60*30/10000</f>
        <v>0.18</v>
      </c>
      <c r="O6" t="s">
        <v>92</v>
      </c>
      <c r="P6" t="s">
        <v>149</v>
      </c>
      <c r="Q6">
        <v>100</v>
      </c>
      <c r="R6" s="19">
        <v>44819</v>
      </c>
      <c r="S6" s="19">
        <v>44972</v>
      </c>
      <c r="T6" t="s">
        <v>148</v>
      </c>
      <c r="U6" t="s">
        <v>150</v>
      </c>
      <c r="V6" t="s">
        <v>95</v>
      </c>
      <c r="W6">
        <v>10</v>
      </c>
      <c r="X6" t="s">
        <v>100</v>
      </c>
      <c r="Y6" t="s">
        <v>101</v>
      </c>
      <c r="Z6">
        <v>2</v>
      </c>
      <c r="AA6" t="s">
        <v>98</v>
      </c>
      <c r="AB6" t="s">
        <v>151</v>
      </c>
      <c r="AC6" t="s">
        <v>100</v>
      </c>
      <c r="AD6">
        <v>8</v>
      </c>
      <c r="AE6" s="24">
        <f t="shared" si="0"/>
        <v>44.444444444444443</v>
      </c>
      <c r="AF6" t="s">
        <v>100</v>
      </c>
      <c r="AG6" t="s">
        <v>101</v>
      </c>
      <c r="AH6" t="s">
        <v>102</v>
      </c>
      <c r="AI6" t="s">
        <v>103</v>
      </c>
      <c r="AJ6" t="s">
        <v>103</v>
      </c>
      <c r="AK6" t="s">
        <v>103</v>
      </c>
      <c r="AL6" t="s">
        <v>103</v>
      </c>
      <c r="AM6" t="s">
        <v>103</v>
      </c>
      <c r="AN6" t="s">
        <v>103</v>
      </c>
      <c r="AO6" t="s">
        <v>103</v>
      </c>
      <c r="AP6" s="25" t="s">
        <v>90</v>
      </c>
      <c r="AQ6" s="25" t="s">
        <v>90</v>
      </c>
      <c r="AR6">
        <v>0</v>
      </c>
      <c r="AS6" t="s">
        <v>100</v>
      </c>
      <c r="AT6" t="s">
        <v>103</v>
      </c>
      <c r="AU6" t="s">
        <v>152</v>
      </c>
      <c r="AV6" t="s">
        <v>105</v>
      </c>
      <c r="AW6" t="s">
        <v>153</v>
      </c>
      <c r="AX6" t="s">
        <v>90</v>
      </c>
      <c r="AY6">
        <f>(60/$N6)</f>
        <v>333.33333333333337</v>
      </c>
      <c r="AZ6" t="s">
        <v>90</v>
      </c>
      <c r="BA6">
        <f>AY6+AY6*((100-Q6)/100)</f>
        <v>333.33333333333337</v>
      </c>
      <c r="BB6" t="s">
        <v>90</v>
      </c>
      <c r="BC6" t="s">
        <v>90</v>
      </c>
      <c r="BD6" t="s">
        <v>90</v>
      </c>
      <c r="BE6" t="s">
        <v>90</v>
      </c>
      <c r="BF6">
        <v>1</v>
      </c>
      <c r="BG6">
        <v>1250</v>
      </c>
      <c r="BH6">
        <f>2500/4</f>
        <v>625</v>
      </c>
      <c r="BI6" t="s">
        <v>90</v>
      </c>
      <c r="BJ6" t="s">
        <v>142</v>
      </c>
      <c r="BK6" t="s">
        <v>108</v>
      </c>
      <c r="BL6">
        <v>14</v>
      </c>
      <c r="BM6" t="s">
        <v>109</v>
      </c>
      <c r="BN6" t="s">
        <v>110</v>
      </c>
      <c r="BO6">
        <v>0</v>
      </c>
      <c r="BP6" t="s">
        <v>132</v>
      </c>
      <c r="BQ6" t="str">
        <f>IF(AND(BP6="Not member",G6="KasaiLomami"),"VC3", "VC1 or VC2")</f>
        <v>VC3</v>
      </c>
      <c r="BR6">
        <v>6.18</v>
      </c>
      <c r="BS6" s="24">
        <v>4.1399999999999999E-2</v>
      </c>
      <c r="BT6" s="26">
        <v>2.5082004809999998</v>
      </c>
      <c r="BU6" s="26">
        <v>9.7046229999999998</v>
      </c>
      <c r="BV6" s="26">
        <v>87.787166826999993</v>
      </c>
      <c r="BW6" s="26" t="s">
        <v>113</v>
      </c>
      <c r="BX6" s="26">
        <v>39</v>
      </c>
      <c r="BY6" s="26">
        <v>23.270999999999997</v>
      </c>
      <c r="BZ6" s="26">
        <v>23.729000000000003</v>
      </c>
      <c r="CA6" s="26">
        <v>47</v>
      </c>
      <c r="CB6">
        <f>IF(AZ6&lt;&gt;"NA",(10000/AZ6)*(125/365),(10000/BA6)*(125/365))</f>
        <v>10.273972602739724</v>
      </c>
      <c r="CC6">
        <f>IF(BA6&lt;&gt;"NA",(10000/BA6)*(125/365),(10000/AZ6)*(125/365))</f>
        <v>10.273972602739724</v>
      </c>
      <c r="CD6">
        <f>AE6/AVERAGE(AZ6,BA6)</f>
        <v>0.1333333333333333</v>
      </c>
      <c r="CE6">
        <f>1.911*IF(AX6&lt;&gt;"NA", AVERAGE(AX6,AY6), AVERAGE(AZ6,BA6))</f>
        <v>637.00000000000011</v>
      </c>
      <c r="CF6">
        <v>40</v>
      </c>
      <c r="CG6" s="27">
        <f>(CF6/N6)/IF(AX6&lt;&gt;"NA", AX6,AY6)</f>
        <v>0.66666666666666663</v>
      </c>
      <c r="CH6">
        <f>CF6/N6</f>
        <v>222.22222222222223</v>
      </c>
    </row>
    <row r="7" spans="1:86" ht="15.6" x14ac:dyDescent="0.3">
      <c r="A7">
        <v>6</v>
      </c>
      <c r="B7" s="20" t="s">
        <v>154</v>
      </c>
      <c r="C7" t="s">
        <v>87</v>
      </c>
      <c r="D7" s="29">
        <v>-6.8105409000000003</v>
      </c>
      <c r="E7" s="29">
        <v>23.918650499999998</v>
      </c>
      <c r="F7">
        <v>733</v>
      </c>
      <c r="G7" t="s">
        <v>88</v>
      </c>
      <c r="H7" t="s">
        <v>135</v>
      </c>
      <c r="I7">
        <v>48</v>
      </c>
      <c r="J7" t="s">
        <v>115</v>
      </c>
      <c r="K7" t="s">
        <v>155</v>
      </c>
      <c r="L7" t="s">
        <v>155</v>
      </c>
      <c r="M7">
        <f>2500/10000</f>
        <v>0.25</v>
      </c>
      <c r="N7">
        <f>50*50/10000</f>
        <v>0.25</v>
      </c>
      <c r="O7" t="s">
        <v>155</v>
      </c>
      <c r="P7" t="s">
        <v>155</v>
      </c>
      <c r="Q7">
        <v>50</v>
      </c>
      <c r="R7" s="19">
        <v>44819</v>
      </c>
      <c r="S7" s="19">
        <v>44932</v>
      </c>
      <c r="T7" t="s">
        <v>155</v>
      </c>
      <c r="U7" t="s">
        <v>150</v>
      </c>
      <c r="V7" t="s">
        <v>95</v>
      </c>
      <c r="W7">
        <v>10</v>
      </c>
      <c r="X7" t="s">
        <v>100</v>
      </c>
      <c r="Y7" t="s">
        <v>101</v>
      </c>
      <c r="Z7">
        <v>1</v>
      </c>
      <c r="AA7" t="s">
        <v>98</v>
      </c>
      <c r="AB7" t="s">
        <v>99</v>
      </c>
      <c r="AC7" t="s">
        <v>100</v>
      </c>
      <c r="AD7">
        <v>7</v>
      </c>
      <c r="AE7" s="24">
        <f t="shared" si="0"/>
        <v>56</v>
      </c>
      <c r="AF7" t="s">
        <v>100</v>
      </c>
      <c r="AG7" t="s">
        <v>101</v>
      </c>
      <c r="AH7" t="s">
        <v>102</v>
      </c>
      <c r="AI7" t="s">
        <v>103</v>
      </c>
      <c r="AJ7" t="s">
        <v>103</v>
      </c>
      <c r="AK7" t="s">
        <v>103</v>
      </c>
      <c r="AL7" t="s">
        <v>103</v>
      </c>
      <c r="AM7" t="s">
        <v>103</v>
      </c>
      <c r="AN7" t="s">
        <v>103</v>
      </c>
      <c r="AO7" t="s">
        <v>103</v>
      </c>
      <c r="AP7" t="s">
        <v>156</v>
      </c>
      <c r="AQ7" s="25" t="s">
        <v>90</v>
      </c>
      <c r="AR7">
        <v>0</v>
      </c>
      <c r="AS7" t="s">
        <v>100</v>
      </c>
      <c r="AT7" t="s">
        <v>103</v>
      </c>
      <c r="AU7" t="s">
        <v>152</v>
      </c>
      <c r="AV7" t="s">
        <v>105</v>
      </c>
      <c r="AW7" t="s">
        <v>157</v>
      </c>
      <c r="AX7">
        <f>(200/$N7)</f>
        <v>800</v>
      </c>
      <c r="AY7">
        <f>(192/$N7)</f>
        <v>768</v>
      </c>
      <c r="AZ7">
        <f>AX7+AX7*((100-Q7)/100)</f>
        <v>1200</v>
      </c>
      <c r="BA7">
        <f>AY7+AY7*((100-Q7)/100)</f>
        <v>1152</v>
      </c>
      <c r="BB7" t="s">
        <v>90</v>
      </c>
      <c r="BC7" t="s">
        <v>90</v>
      </c>
      <c r="BD7">
        <f>18*4/$N7</f>
        <v>288</v>
      </c>
      <c r="BE7">
        <f>BD7+(BD7*Q7)/(100-Q7)</f>
        <v>576</v>
      </c>
      <c r="BF7">
        <f>AX7/AZ7+BD7/BE7</f>
        <v>1.1666666666666665</v>
      </c>
      <c r="BG7">
        <v>1375</v>
      </c>
      <c r="BH7">
        <f>2500/4</f>
        <v>625</v>
      </c>
      <c r="BI7" t="s">
        <v>90</v>
      </c>
      <c r="BJ7" t="s">
        <v>142</v>
      </c>
      <c r="BK7" t="s">
        <v>108</v>
      </c>
      <c r="BL7">
        <v>14</v>
      </c>
      <c r="BM7" t="s">
        <v>109</v>
      </c>
      <c r="BN7" t="s">
        <v>110</v>
      </c>
      <c r="BO7">
        <v>0</v>
      </c>
      <c r="BP7" t="s">
        <v>132</v>
      </c>
      <c r="BQ7" t="str">
        <f>IF(AND(BP7="Not member",G7="KasaiLomami"),"VC3", "VC1 or VC2")</f>
        <v>VC3</v>
      </c>
      <c r="BR7">
        <v>5.95</v>
      </c>
      <c r="BS7" s="24">
        <v>3.4700000000000002E-2</v>
      </c>
      <c r="BT7" s="26">
        <v>3.2643755950000002</v>
      </c>
      <c r="BU7" s="26">
        <v>14.306774000000001</v>
      </c>
      <c r="BV7" s="26">
        <v>82.428845300000006</v>
      </c>
      <c r="BW7" s="26" t="s">
        <v>113</v>
      </c>
      <c r="BX7" s="26">
        <v>39</v>
      </c>
      <c r="BY7" s="26">
        <v>23.004000000000001</v>
      </c>
      <c r="BZ7" s="26">
        <v>23.995999999999999</v>
      </c>
      <c r="CA7" s="26">
        <v>47</v>
      </c>
      <c r="CB7">
        <f>IF(AZ7&lt;&gt;"NA",(10000/AZ7)*(125/365),(10000/BA7)*(125/365))</f>
        <v>2.8538812785388128</v>
      </c>
      <c r="CC7">
        <f>IF(BA7&lt;&gt;"NA",(10000/BA7)*(125/365),(10000/AZ7)*(125/365))</f>
        <v>2.9727929984779298</v>
      </c>
      <c r="CD7">
        <f>AE7/AVERAGE(AZ7,BA7)</f>
        <v>4.7619047619047616E-2</v>
      </c>
      <c r="CE7">
        <f>1.911*IF(AX7&lt;&gt;"NA", AVERAGE(AX7,AY7), AVERAGE(AZ7,BA7))</f>
        <v>1498.2239999999999</v>
      </c>
      <c r="CF7">
        <v>30</v>
      </c>
      <c r="CG7" s="27">
        <f>(CF7/N7)/IF(AX7&lt;&gt;"NA", AX7,AY7)</f>
        <v>0.15</v>
      </c>
      <c r="CH7">
        <f>CF7/N7</f>
        <v>120</v>
      </c>
    </row>
    <row r="8" spans="1:86" ht="15.6" x14ac:dyDescent="0.3">
      <c r="A8">
        <v>7</v>
      </c>
      <c r="B8" s="20" t="s">
        <v>158</v>
      </c>
      <c r="C8" t="s">
        <v>87</v>
      </c>
      <c r="D8" s="22">
        <v>-6.7345496000000002</v>
      </c>
      <c r="E8" s="22">
        <v>24.136653200000001</v>
      </c>
      <c r="F8" s="25">
        <v>633</v>
      </c>
      <c r="G8" t="s">
        <v>88</v>
      </c>
      <c r="H8" t="s">
        <v>135</v>
      </c>
      <c r="I8">
        <v>33</v>
      </c>
      <c r="J8" t="s">
        <v>115</v>
      </c>
      <c r="K8" t="s">
        <v>159</v>
      </c>
      <c r="L8" t="s">
        <v>155</v>
      </c>
      <c r="M8">
        <f>48*50/10000</f>
        <v>0.24</v>
      </c>
      <c r="N8">
        <f>48*50/10000</f>
        <v>0.24</v>
      </c>
      <c r="O8" t="s">
        <v>155</v>
      </c>
      <c r="P8" t="s">
        <v>155</v>
      </c>
      <c r="Q8">
        <v>60</v>
      </c>
      <c r="R8" s="19">
        <v>44814</v>
      </c>
      <c r="S8" s="19">
        <v>44962</v>
      </c>
      <c r="T8" t="s">
        <v>155</v>
      </c>
      <c r="U8" t="s">
        <v>160</v>
      </c>
      <c r="V8" t="s">
        <v>95</v>
      </c>
      <c r="W8">
        <v>10</v>
      </c>
      <c r="X8" t="s">
        <v>100</v>
      </c>
      <c r="Y8" t="s">
        <v>97</v>
      </c>
      <c r="Z8">
        <v>2</v>
      </c>
      <c r="AA8" t="s">
        <v>98</v>
      </c>
      <c r="AB8" t="s">
        <v>151</v>
      </c>
      <c r="AC8" t="s">
        <v>100</v>
      </c>
      <c r="AD8">
        <v>4</v>
      </c>
      <c r="AE8" s="24">
        <f t="shared" si="0"/>
        <v>27.777777777777779</v>
      </c>
      <c r="AF8" t="s">
        <v>100</v>
      </c>
      <c r="AG8" t="s">
        <v>101</v>
      </c>
      <c r="AH8" t="s">
        <v>102</v>
      </c>
      <c r="AI8" t="s">
        <v>103</v>
      </c>
      <c r="AJ8" t="s">
        <v>103</v>
      </c>
      <c r="AK8" t="s">
        <v>103</v>
      </c>
      <c r="AL8" t="s">
        <v>103</v>
      </c>
      <c r="AM8" t="s">
        <v>103</v>
      </c>
      <c r="AN8" t="s">
        <v>103</v>
      </c>
      <c r="AO8" t="s">
        <v>103</v>
      </c>
      <c r="AP8" s="25" t="s">
        <v>90</v>
      </c>
      <c r="AQ8" t="s">
        <v>161</v>
      </c>
      <c r="AR8" t="s">
        <v>162</v>
      </c>
      <c r="AS8" t="s">
        <v>100</v>
      </c>
      <c r="AT8" t="s">
        <v>103</v>
      </c>
      <c r="AU8" t="s">
        <v>152</v>
      </c>
      <c r="AV8" t="s">
        <v>105</v>
      </c>
      <c r="AW8" t="s">
        <v>125</v>
      </c>
      <c r="AX8" t="s">
        <v>90</v>
      </c>
      <c r="AY8">
        <f>(25/$N8)</f>
        <v>104.16666666666667</v>
      </c>
      <c r="AZ8" t="s">
        <v>90</v>
      </c>
      <c r="BA8">
        <f>AY8+AY8*((100-Q8)/100)</f>
        <v>145.83333333333334</v>
      </c>
      <c r="BB8" t="s">
        <v>90</v>
      </c>
      <c r="BC8" t="s">
        <v>90</v>
      </c>
      <c r="BD8">
        <f>25*4/$N8</f>
        <v>416.66666666666669</v>
      </c>
      <c r="BE8">
        <f>BD8+(BD8*Q8)/(100-Q8)</f>
        <v>1041.6666666666667</v>
      </c>
      <c r="BF8">
        <f>AY8/BA8+BD8/BE8</f>
        <v>1.1142857142857143</v>
      </c>
      <c r="BG8">
        <v>1375</v>
      </c>
      <c r="BH8">
        <f>2500/4</f>
        <v>625</v>
      </c>
      <c r="BI8" t="s">
        <v>90</v>
      </c>
      <c r="BJ8" t="s">
        <v>142</v>
      </c>
      <c r="BK8" t="s">
        <v>108</v>
      </c>
      <c r="BL8">
        <v>14</v>
      </c>
      <c r="BM8" t="s">
        <v>109</v>
      </c>
      <c r="BN8" t="s">
        <v>110</v>
      </c>
      <c r="BO8">
        <v>0</v>
      </c>
      <c r="BP8" t="s">
        <v>132</v>
      </c>
      <c r="BQ8" t="str">
        <f>IF(AND(BP8="Not member",G8="KasaiLomami"),"VC3", "VC1 or VC2")</f>
        <v>VC3</v>
      </c>
      <c r="BR8">
        <v>5.6</v>
      </c>
      <c r="BS8" s="24">
        <v>0.14460000000000001</v>
      </c>
      <c r="BT8" s="26">
        <v>15.52432488</v>
      </c>
      <c r="BU8" s="26">
        <v>59.154280999999997</v>
      </c>
      <c r="BV8" s="26">
        <v>25.321388247200002</v>
      </c>
      <c r="BW8" s="26" t="s">
        <v>163</v>
      </c>
      <c r="BX8" s="26">
        <v>39</v>
      </c>
      <c r="BY8" s="26">
        <v>49.62</v>
      </c>
      <c r="BZ8" s="26">
        <v>-2.6199999999999974</v>
      </c>
      <c r="CA8" s="26">
        <v>47</v>
      </c>
      <c r="CB8">
        <f>IF(AZ8&lt;&gt;"NA",(10000/AZ8)*(125/365),(10000/BA8)*(125/365))</f>
        <v>23.483365949119371</v>
      </c>
      <c r="CC8">
        <f>IF(BA8&lt;&gt;"NA",(10000/BA8)*(125/365),(10000/AZ8)*(125/365))</f>
        <v>23.483365949119371</v>
      </c>
      <c r="CD8">
        <f>AE8/AVERAGE(AZ8,BA8)</f>
        <v>0.19047619047619047</v>
      </c>
      <c r="CE8">
        <f>1.911*IF(AX8&lt;&gt;"NA", AVERAGE(AX8,AY8), AVERAGE(AZ8,BA8))</f>
        <v>278.6875</v>
      </c>
      <c r="CF8">
        <v>0</v>
      </c>
      <c r="CG8" s="27">
        <f>(CF8/N8)/IF(AX8&lt;&gt;"NA", AX8,AY8)</f>
        <v>0</v>
      </c>
      <c r="CH8">
        <f>CF8/N8</f>
        <v>0</v>
      </c>
    </row>
    <row r="9" spans="1:86" ht="15.6" x14ac:dyDescent="0.3">
      <c r="A9">
        <v>8</v>
      </c>
      <c r="B9" s="20" t="s">
        <v>164</v>
      </c>
      <c r="C9" t="s">
        <v>134</v>
      </c>
      <c r="D9" s="22">
        <v>-6.7381070000000003</v>
      </c>
      <c r="E9" s="22">
        <v>24.135729300000001</v>
      </c>
      <c r="F9" s="25">
        <v>628</v>
      </c>
      <c r="G9" t="s">
        <v>88</v>
      </c>
      <c r="H9" t="s">
        <v>135</v>
      </c>
      <c r="I9">
        <v>31</v>
      </c>
      <c r="J9" t="s">
        <v>115</v>
      </c>
      <c r="K9" t="s">
        <v>116</v>
      </c>
      <c r="L9" t="s">
        <v>116</v>
      </c>
      <c r="M9">
        <f>26*50/10000</f>
        <v>0.13</v>
      </c>
      <c r="N9">
        <f>26*50/10000</f>
        <v>0.13</v>
      </c>
      <c r="O9" t="s">
        <v>116</v>
      </c>
      <c r="P9" t="s">
        <v>93</v>
      </c>
      <c r="Q9">
        <v>60</v>
      </c>
      <c r="R9" s="19">
        <v>44811</v>
      </c>
      <c r="S9" s="19">
        <v>44967</v>
      </c>
      <c r="T9" t="s">
        <v>138</v>
      </c>
      <c r="U9" t="s">
        <v>165</v>
      </c>
      <c r="V9" t="s">
        <v>95</v>
      </c>
      <c r="W9">
        <v>15</v>
      </c>
      <c r="X9" t="s">
        <v>100</v>
      </c>
      <c r="Y9" t="s">
        <v>166</v>
      </c>
      <c r="Z9">
        <v>2</v>
      </c>
      <c r="AA9" t="s">
        <v>98</v>
      </c>
      <c r="AB9" t="s">
        <v>142</v>
      </c>
      <c r="AC9" t="s">
        <v>100</v>
      </c>
      <c r="AD9">
        <v>3</v>
      </c>
      <c r="AE9" s="24">
        <f t="shared" si="0"/>
        <v>38.461538461538453</v>
      </c>
      <c r="AF9" t="s">
        <v>100</v>
      </c>
      <c r="AG9" t="s">
        <v>101</v>
      </c>
      <c r="AH9" t="s">
        <v>102</v>
      </c>
      <c r="AI9" t="s">
        <v>103</v>
      </c>
      <c r="AJ9" t="s">
        <v>103</v>
      </c>
      <c r="AK9" t="s">
        <v>103</v>
      </c>
      <c r="AL9" t="s">
        <v>103</v>
      </c>
      <c r="AM9" t="s">
        <v>103</v>
      </c>
      <c r="AN9" t="s">
        <v>103</v>
      </c>
      <c r="AO9" t="s">
        <v>103</v>
      </c>
      <c r="AP9" s="25" t="s">
        <v>90</v>
      </c>
      <c r="AQ9" t="s">
        <v>161</v>
      </c>
      <c r="AR9" t="s">
        <v>162</v>
      </c>
      <c r="AS9" t="s">
        <v>100</v>
      </c>
      <c r="AT9" t="s">
        <v>103</v>
      </c>
      <c r="AU9" t="s">
        <v>95</v>
      </c>
      <c r="AV9" t="s">
        <v>105</v>
      </c>
      <c r="AW9" t="s">
        <v>167</v>
      </c>
      <c r="AX9">
        <f>(85/$N9)</f>
        <v>653.84615384615381</v>
      </c>
      <c r="AY9">
        <f>(65/$N9)</f>
        <v>500</v>
      </c>
      <c r="AZ9">
        <f>AX9+AX9*((100-Q9)/100)</f>
        <v>915.38461538461536</v>
      </c>
      <c r="BA9">
        <f>AY9+AY9*((100-Q9)/100)</f>
        <v>700</v>
      </c>
      <c r="BB9" t="s">
        <v>90</v>
      </c>
      <c r="BC9" t="s">
        <v>90</v>
      </c>
      <c r="BD9">
        <f>15*4/$N9</f>
        <v>461.53846153846155</v>
      </c>
      <c r="BE9">
        <f>BD9+(BD9*Q9)/(100-Q9)</f>
        <v>1153.8461538461538</v>
      </c>
      <c r="BF9">
        <f>AX9/AZ9+BD9/BE9</f>
        <v>1.1142857142857143</v>
      </c>
      <c r="BG9">
        <v>1375</v>
      </c>
      <c r="BH9">
        <v>625</v>
      </c>
      <c r="BI9" t="s">
        <v>90</v>
      </c>
      <c r="BJ9" t="s">
        <v>142</v>
      </c>
      <c r="BK9" t="s">
        <v>108</v>
      </c>
      <c r="BL9">
        <v>14</v>
      </c>
      <c r="BM9" t="s">
        <v>109</v>
      </c>
      <c r="BN9" t="s">
        <v>110</v>
      </c>
      <c r="BO9">
        <v>1</v>
      </c>
      <c r="BP9" t="s">
        <v>145</v>
      </c>
      <c r="BQ9" t="s">
        <v>146</v>
      </c>
      <c r="BR9">
        <v>6.13</v>
      </c>
      <c r="BS9" s="24">
        <v>0.1234</v>
      </c>
      <c r="BT9" s="26">
        <v>20.885071813469999</v>
      </c>
      <c r="BU9" s="26">
        <v>34.717815000000002</v>
      </c>
      <c r="BV9" s="26">
        <v>44.397117440000002</v>
      </c>
      <c r="BW9" s="26" t="s">
        <v>168</v>
      </c>
      <c r="BX9" s="26">
        <v>39</v>
      </c>
      <c r="BY9" s="26">
        <v>52.199999999999996</v>
      </c>
      <c r="BZ9" s="26">
        <v>-5.1999999999999957</v>
      </c>
      <c r="CA9" s="26">
        <v>47</v>
      </c>
      <c r="CB9">
        <f>IF(AZ9&lt;&gt;"NA",(10000/AZ9)*(125/365),(10000/BA9)*(125/365))</f>
        <v>3.7412225164038215</v>
      </c>
      <c r="CC9">
        <f>IF(BA9&lt;&gt;"NA",(10000/BA9)*(125/365),(10000/AZ9)*(125/365))</f>
        <v>4.8923679060665366</v>
      </c>
      <c r="CD9">
        <f>AE9/AVERAGE(AZ9,BA9)</f>
        <v>4.7619047619047609E-2</v>
      </c>
      <c r="CE9">
        <f>1.911*IF(AX9&lt;&gt;"NA", AVERAGE(AX9,AY9), AVERAGE(AZ9,BA9))</f>
        <v>1102.5</v>
      </c>
      <c r="CF9">
        <v>50</v>
      </c>
      <c r="CG9" s="27">
        <f>(CF9/N9)/IF(AX9&lt;&gt;"NA", AX9,AY9)</f>
        <v>0.58823529411764708</v>
      </c>
      <c r="CH9">
        <f>CF9/N9</f>
        <v>384.61538461538458</v>
      </c>
    </row>
    <row r="10" spans="1:86" ht="15.6" x14ac:dyDescent="0.3">
      <c r="A10">
        <v>9</v>
      </c>
      <c r="B10" s="20" t="s">
        <v>169</v>
      </c>
      <c r="C10" t="s">
        <v>134</v>
      </c>
      <c r="D10" s="22">
        <v>-6.6283055600000003</v>
      </c>
      <c r="E10" s="22">
        <v>23.8065</v>
      </c>
      <c r="F10">
        <v>643</v>
      </c>
      <c r="G10" t="s">
        <v>88</v>
      </c>
      <c r="H10" t="s">
        <v>135</v>
      </c>
      <c r="I10">
        <v>42</v>
      </c>
      <c r="J10" t="s">
        <v>115</v>
      </c>
      <c r="K10" t="s">
        <v>170</v>
      </c>
      <c r="L10" t="s">
        <v>171</v>
      </c>
      <c r="M10">
        <f>250*100/10000</f>
        <v>2.5</v>
      </c>
      <c r="N10">
        <f>50*50/10000</f>
        <v>0.25</v>
      </c>
      <c r="O10" t="s">
        <v>172</v>
      </c>
      <c r="P10" t="s">
        <v>93</v>
      </c>
      <c r="Q10">
        <v>60</v>
      </c>
      <c r="R10" s="19">
        <v>44819</v>
      </c>
      <c r="S10" s="19">
        <v>44982</v>
      </c>
      <c r="T10" t="s">
        <v>173</v>
      </c>
      <c r="U10" t="s">
        <v>174</v>
      </c>
      <c r="V10" t="s">
        <v>95</v>
      </c>
      <c r="W10">
        <v>10</v>
      </c>
      <c r="X10" t="s">
        <v>100</v>
      </c>
      <c r="Y10" t="s">
        <v>97</v>
      </c>
      <c r="Z10">
        <v>2</v>
      </c>
      <c r="AA10" t="s">
        <v>98</v>
      </c>
      <c r="AB10" t="s">
        <v>142</v>
      </c>
      <c r="AC10" t="s">
        <v>100</v>
      </c>
      <c r="AD10">
        <v>6.5</v>
      </c>
      <c r="AE10" s="24">
        <f t="shared" si="0"/>
        <v>43.333333333333336</v>
      </c>
      <c r="AF10" t="s">
        <v>100</v>
      </c>
      <c r="AG10" t="s">
        <v>101</v>
      </c>
      <c r="AH10" t="s">
        <v>175</v>
      </c>
      <c r="AI10" t="s">
        <v>103</v>
      </c>
      <c r="AJ10" t="s">
        <v>103</v>
      </c>
      <c r="AK10" t="s">
        <v>103</v>
      </c>
      <c r="AL10" t="s">
        <v>103</v>
      </c>
      <c r="AM10" t="s">
        <v>103</v>
      </c>
      <c r="AN10" t="s">
        <v>103</v>
      </c>
      <c r="AO10" t="s">
        <v>103</v>
      </c>
      <c r="AP10" t="s">
        <v>176</v>
      </c>
      <c r="AQ10" s="25" t="s">
        <v>90</v>
      </c>
      <c r="AR10">
        <v>0</v>
      </c>
      <c r="AS10" t="s">
        <v>100</v>
      </c>
      <c r="AT10" t="s">
        <v>103</v>
      </c>
      <c r="AU10" t="s">
        <v>95</v>
      </c>
      <c r="AV10" t="s">
        <v>105</v>
      </c>
      <c r="AW10" t="s">
        <v>131</v>
      </c>
      <c r="AX10">
        <f>(45*4/$N10)</f>
        <v>720</v>
      </c>
      <c r="AY10">
        <f>(16*4/$N10)</f>
        <v>256</v>
      </c>
      <c r="AZ10">
        <f>AX10+AX10*((100-Q10)/100)</f>
        <v>1008</v>
      </c>
      <c r="BA10">
        <f>AY10+AY10*((100-Q10)/100)</f>
        <v>358.4</v>
      </c>
      <c r="BB10" t="s">
        <v>90</v>
      </c>
      <c r="BC10" t="s">
        <v>90</v>
      </c>
      <c r="BD10">
        <f>15*4/$N10</f>
        <v>240</v>
      </c>
      <c r="BE10">
        <f>BD10+(BD10*Q10)/(100-Q10)</f>
        <v>600</v>
      </c>
      <c r="BF10">
        <f>AX10/AZ10+BD10/BE10</f>
        <v>1.1142857142857143</v>
      </c>
      <c r="BG10">
        <f>5000/4</f>
        <v>1250</v>
      </c>
      <c r="BH10" t="s">
        <v>90</v>
      </c>
      <c r="BI10" t="s">
        <v>90</v>
      </c>
      <c r="BJ10" t="s">
        <v>107</v>
      </c>
      <c r="BK10" t="s">
        <v>177</v>
      </c>
      <c r="BL10">
        <v>14</v>
      </c>
      <c r="BM10" t="s">
        <v>109</v>
      </c>
      <c r="BN10" t="s">
        <v>110</v>
      </c>
      <c r="BO10">
        <v>0</v>
      </c>
      <c r="BP10" t="s">
        <v>132</v>
      </c>
      <c r="BQ10" t="str">
        <f>IF(AND(BP10="Not member",G10="KasaiLomami"),"VC3", "VC1 or VC2")</f>
        <v>VC3</v>
      </c>
      <c r="BR10">
        <v>5.7214860405570001</v>
      </c>
      <c r="BS10" s="24">
        <v>0.17483358839065699</v>
      </c>
      <c r="BT10" s="26"/>
      <c r="BU10" s="26"/>
      <c r="BV10" s="26"/>
      <c r="BW10" s="26"/>
      <c r="BX10" s="26">
        <v>47</v>
      </c>
      <c r="BY10" s="26">
        <v>61.814839635593998</v>
      </c>
      <c r="BZ10" s="26">
        <v>-14.814839635593998</v>
      </c>
      <c r="CA10" s="26">
        <v>47</v>
      </c>
      <c r="CB10">
        <f>IF(AZ10&lt;&gt;"NA",(10000/AZ10)*(125/365),(10000/BA10)*(125/365))</f>
        <v>3.3974777125462055</v>
      </c>
      <c r="CC10">
        <f>IF(BA10&lt;&gt;"NA",(10000/BA10)*(125/365),(10000/AZ10)*(125/365))</f>
        <v>9.5554060665362037</v>
      </c>
      <c r="CD10">
        <f>AE10/AVERAGE(AZ10,BA10)</f>
        <v>6.3427010148321625E-2</v>
      </c>
      <c r="CE10">
        <f>1.911*IF(AX10&lt;&gt;"NA", AVERAGE(AX10,AY10), AVERAGE(AZ10,BA10))</f>
        <v>932.56799999999998</v>
      </c>
      <c r="CF10">
        <v>20</v>
      </c>
      <c r="CG10" s="27">
        <f>(CF10/N10)/IF(AX10&lt;&gt;"NA", AX10,AY10)</f>
        <v>0.1111111111111111</v>
      </c>
      <c r="CH10">
        <f>CF10/N10</f>
        <v>80</v>
      </c>
    </row>
    <row r="11" spans="1:86" ht="15.6" x14ac:dyDescent="0.3">
      <c r="A11">
        <v>10</v>
      </c>
      <c r="B11" s="20" t="s">
        <v>178</v>
      </c>
      <c r="C11" t="s">
        <v>134</v>
      </c>
      <c r="D11" s="22">
        <v>-6.6467419999999997</v>
      </c>
      <c r="E11" s="22">
        <v>23.850431</v>
      </c>
      <c r="F11" s="25">
        <v>687</v>
      </c>
      <c r="G11" t="s">
        <v>88</v>
      </c>
      <c r="H11" t="s">
        <v>135</v>
      </c>
      <c r="I11">
        <v>53</v>
      </c>
      <c r="J11" t="s">
        <v>115</v>
      </c>
      <c r="K11" t="s">
        <v>179</v>
      </c>
      <c r="L11" t="s">
        <v>180</v>
      </c>
      <c r="M11">
        <f>50*100/10000</f>
        <v>0.5</v>
      </c>
      <c r="N11">
        <f>25*25/10000</f>
        <v>6.25E-2</v>
      </c>
      <c r="O11" t="s">
        <v>181</v>
      </c>
      <c r="P11" t="s">
        <v>172</v>
      </c>
      <c r="Q11">
        <v>40</v>
      </c>
      <c r="R11" s="19">
        <v>44811</v>
      </c>
      <c r="S11" s="19">
        <v>44936</v>
      </c>
      <c r="T11" t="s">
        <v>182</v>
      </c>
      <c r="U11" t="s">
        <v>183</v>
      </c>
      <c r="V11" t="s">
        <v>95</v>
      </c>
      <c r="W11">
        <v>10</v>
      </c>
      <c r="X11" t="s">
        <v>100</v>
      </c>
      <c r="Y11" t="s">
        <v>184</v>
      </c>
      <c r="Z11">
        <v>2</v>
      </c>
      <c r="AA11" t="s">
        <v>98</v>
      </c>
      <c r="AB11" t="s">
        <v>99</v>
      </c>
      <c r="AC11" t="s">
        <v>100</v>
      </c>
      <c r="AD11">
        <v>1.5</v>
      </c>
      <c r="AE11" s="24">
        <f t="shared" si="0"/>
        <v>60</v>
      </c>
      <c r="AF11" t="s">
        <v>100</v>
      </c>
      <c r="AG11" t="s">
        <v>101</v>
      </c>
      <c r="AH11" t="s">
        <v>102</v>
      </c>
      <c r="AI11" t="s">
        <v>103</v>
      </c>
      <c r="AJ11" t="s">
        <v>103</v>
      </c>
      <c r="AK11" t="s">
        <v>103</v>
      </c>
      <c r="AL11" t="s">
        <v>103</v>
      </c>
      <c r="AM11" t="s">
        <v>103</v>
      </c>
      <c r="AN11" t="s">
        <v>103</v>
      </c>
      <c r="AO11" t="s">
        <v>103</v>
      </c>
      <c r="AP11" s="25" t="s">
        <v>90</v>
      </c>
      <c r="AQ11" t="s">
        <v>161</v>
      </c>
      <c r="AR11">
        <v>0</v>
      </c>
      <c r="AS11" t="s">
        <v>100</v>
      </c>
      <c r="AT11" t="s">
        <v>103</v>
      </c>
      <c r="AU11" t="s">
        <v>95</v>
      </c>
      <c r="AV11" t="s">
        <v>185</v>
      </c>
      <c r="AW11" t="s">
        <v>186</v>
      </c>
      <c r="AX11">
        <f>(15*4/$N11)</f>
        <v>960</v>
      </c>
      <c r="AY11">
        <f>(8*4/$N11)</f>
        <v>512</v>
      </c>
      <c r="AZ11">
        <f>AX11+AX11*((100-Q11)/100)</f>
        <v>1536</v>
      </c>
      <c r="BA11">
        <f>AY11+AY11*((100-Q11)/100)</f>
        <v>819.2</v>
      </c>
      <c r="BB11">
        <f>(20*4/$N11)</f>
        <v>1280</v>
      </c>
      <c r="BC11">
        <f>BB11+(BB11*Q11)/(100-Q11)</f>
        <v>2133.3333333333335</v>
      </c>
      <c r="BD11">
        <f>20*4/$N11</f>
        <v>1280</v>
      </c>
      <c r="BE11">
        <f>BD11+(BD11*Q11)/(100-Q11)</f>
        <v>2133.3333333333335</v>
      </c>
      <c r="BF11">
        <f>AX11/AZ11+BD11/BE11+BB11/BC11</f>
        <v>1.8250000000000002</v>
      </c>
      <c r="BG11">
        <f>5000/4</f>
        <v>1250</v>
      </c>
      <c r="BH11">
        <f>2500/4</f>
        <v>625</v>
      </c>
      <c r="BI11" t="s">
        <v>90</v>
      </c>
      <c r="BJ11" t="s">
        <v>187</v>
      </c>
      <c r="BK11" t="s">
        <v>188</v>
      </c>
      <c r="BL11">
        <v>14</v>
      </c>
      <c r="BM11" t="s">
        <v>109</v>
      </c>
      <c r="BN11" t="s">
        <v>110</v>
      </c>
      <c r="BO11">
        <v>0</v>
      </c>
      <c r="BP11" t="s">
        <v>132</v>
      </c>
      <c r="BQ11" t="str">
        <f>IF(AND(BP11="Not member",G11="KasaiLomami"),"VC3", "VC1 or VC2")</f>
        <v>VC3</v>
      </c>
      <c r="BR11">
        <v>6.06</v>
      </c>
      <c r="BS11" s="24">
        <v>0.1288</v>
      </c>
      <c r="BT11" s="26">
        <v>12.52432488</v>
      </c>
      <c r="BU11" s="26">
        <v>59.154280999999997</v>
      </c>
      <c r="BV11" s="26">
        <v>28.321388247200002</v>
      </c>
      <c r="BW11" s="26" t="s">
        <v>163</v>
      </c>
      <c r="BX11" s="26">
        <v>39</v>
      </c>
      <c r="BY11" s="26">
        <v>60</v>
      </c>
      <c r="BZ11" s="26">
        <v>-13</v>
      </c>
      <c r="CA11" s="26">
        <v>47</v>
      </c>
      <c r="CB11">
        <f>IF(AZ11&lt;&gt;"NA",(10000/AZ11)*(125/365),(10000/BA11)*(125/365))</f>
        <v>2.2295947488584473</v>
      </c>
      <c r="CC11">
        <f>IF(BA11&lt;&gt;"NA",(10000/BA11)*(125/365),(10000/AZ11)*(125/365))</f>
        <v>4.1804901541095889</v>
      </c>
      <c r="CD11">
        <f>AE11/AVERAGE(AZ11,BA11)</f>
        <v>5.0951086956521743E-2</v>
      </c>
      <c r="CE11">
        <f>1.911*IF(AX11&lt;&gt;"NA", AVERAGE(AX11,AY11), AVERAGE(AZ11,BA11))</f>
        <v>1406.4960000000001</v>
      </c>
      <c r="CF11">
        <v>20</v>
      </c>
      <c r="CG11" s="27">
        <f>(CF11/N11)/IF(AX11&lt;&gt;"NA", AX11,AY11)</f>
        <v>0.33333333333333331</v>
      </c>
      <c r="CH11">
        <f>CF11/N11</f>
        <v>320</v>
      </c>
    </row>
    <row r="12" spans="1:86" ht="15.6" x14ac:dyDescent="0.3">
      <c r="A12">
        <v>11</v>
      </c>
      <c r="B12" s="20" t="s">
        <v>189</v>
      </c>
      <c r="C12" t="s">
        <v>87</v>
      </c>
      <c r="D12">
        <v>-6.669333</v>
      </c>
      <c r="E12">
        <v>23.914943999999998</v>
      </c>
      <c r="F12">
        <v>759</v>
      </c>
      <c r="G12" t="s">
        <v>88</v>
      </c>
      <c r="H12" t="s">
        <v>135</v>
      </c>
      <c r="I12">
        <v>42</v>
      </c>
      <c r="J12" t="s">
        <v>115</v>
      </c>
      <c r="K12" t="s">
        <v>138</v>
      </c>
      <c r="L12" t="s">
        <v>138</v>
      </c>
      <c r="M12">
        <f>150*300/10000</f>
        <v>4.5</v>
      </c>
      <c r="N12">
        <f>50*100/10000</f>
        <v>0.5</v>
      </c>
      <c r="O12" t="s">
        <v>190</v>
      </c>
      <c r="P12" t="s">
        <v>93</v>
      </c>
      <c r="Q12">
        <v>50</v>
      </c>
      <c r="R12" s="19">
        <v>44814</v>
      </c>
      <c r="S12" s="19">
        <v>44951</v>
      </c>
      <c r="T12" t="s">
        <v>138</v>
      </c>
      <c r="U12" t="s">
        <v>118</v>
      </c>
      <c r="V12" t="s">
        <v>95</v>
      </c>
      <c r="W12">
        <v>10</v>
      </c>
      <c r="X12" t="s">
        <v>100</v>
      </c>
      <c r="Y12" t="s">
        <v>184</v>
      </c>
      <c r="Z12">
        <v>2</v>
      </c>
      <c r="AA12" t="s">
        <v>98</v>
      </c>
      <c r="AB12" t="s">
        <v>151</v>
      </c>
      <c r="AC12" t="s">
        <v>100</v>
      </c>
      <c r="AD12">
        <v>20</v>
      </c>
      <c r="AE12" s="24">
        <f t="shared" si="0"/>
        <v>80</v>
      </c>
      <c r="AF12" t="s">
        <v>100</v>
      </c>
      <c r="AG12" t="s">
        <v>101</v>
      </c>
      <c r="AH12" t="s">
        <v>102</v>
      </c>
      <c r="AI12" t="s">
        <v>103</v>
      </c>
      <c r="AJ12" t="s">
        <v>103</v>
      </c>
      <c r="AK12" t="s">
        <v>103</v>
      </c>
      <c r="AL12" t="s">
        <v>103</v>
      </c>
      <c r="AM12" t="s">
        <v>103</v>
      </c>
      <c r="AN12" t="s">
        <v>103</v>
      </c>
      <c r="AO12" t="s">
        <v>103</v>
      </c>
      <c r="AP12" s="25" t="s">
        <v>90</v>
      </c>
      <c r="AQ12" t="s">
        <v>191</v>
      </c>
      <c r="AR12">
        <v>0</v>
      </c>
      <c r="AS12" t="s">
        <v>100</v>
      </c>
      <c r="AT12" t="s">
        <v>103</v>
      </c>
      <c r="AU12" t="s">
        <v>95</v>
      </c>
      <c r="AV12" t="s">
        <v>105</v>
      </c>
      <c r="AW12" t="s">
        <v>157</v>
      </c>
      <c r="AX12">
        <f>(60*4/$N12)</f>
        <v>480</v>
      </c>
      <c r="AY12">
        <f>(40*4/$N12)</f>
        <v>320</v>
      </c>
      <c r="AZ12">
        <f>AX12+AX12*((100-Q12)/100)</f>
        <v>720</v>
      </c>
      <c r="BA12">
        <f>AY12+AY12*((100-Q12)/100)</f>
        <v>480</v>
      </c>
      <c r="BB12" t="s">
        <v>90</v>
      </c>
      <c r="BC12" t="s">
        <v>90</v>
      </c>
      <c r="BD12">
        <v>300</v>
      </c>
      <c r="BE12">
        <f>BD12+(BD12*Q12)/(100-Q12)</f>
        <v>600</v>
      </c>
      <c r="BF12">
        <f>AX12/AZ12+BD12/BE12</f>
        <v>1.1666666666666665</v>
      </c>
      <c r="BG12">
        <f>5500/4</f>
        <v>1375</v>
      </c>
      <c r="BH12">
        <f>2500/4</f>
        <v>625</v>
      </c>
      <c r="BI12" t="s">
        <v>90</v>
      </c>
      <c r="BJ12" t="s">
        <v>142</v>
      </c>
      <c r="BK12" t="s">
        <v>177</v>
      </c>
      <c r="BL12">
        <v>14</v>
      </c>
      <c r="BM12" t="s">
        <v>109</v>
      </c>
      <c r="BN12" t="s">
        <v>110</v>
      </c>
      <c r="BO12">
        <v>1</v>
      </c>
      <c r="BP12" t="s">
        <v>145</v>
      </c>
      <c r="BQ12" t="s">
        <v>146</v>
      </c>
      <c r="BR12">
        <v>5</v>
      </c>
      <c r="BS12" s="24">
        <v>4.87E-2</v>
      </c>
      <c r="BT12" s="26">
        <v>35.339657183340002</v>
      </c>
      <c r="BU12" s="26">
        <v>40.09816</v>
      </c>
      <c r="BV12" s="26">
        <v>24.562201600000002</v>
      </c>
      <c r="BW12" s="26" t="s">
        <v>192</v>
      </c>
      <c r="BX12" s="26">
        <v>47</v>
      </c>
      <c r="BY12" s="26">
        <v>45.300000000000004</v>
      </c>
      <c r="BZ12" s="26">
        <v>1.6999999999999957</v>
      </c>
      <c r="CA12" s="26">
        <v>47</v>
      </c>
      <c r="CB12">
        <f>IF(AZ12&lt;&gt;"NA",(10000/AZ12)*(125/365),(10000/BA12)*(125/365))</f>
        <v>4.756468797564688</v>
      </c>
      <c r="CC12">
        <f>IF(BA12&lt;&gt;"NA",(10000/BA12)*(125/365),(10000/AZ12)*(125/365))</f>
        <v>7.1347031963470311</v>
      </c>
      <c r="CD12">
        <f>AE12/AVERAGE(AZ12,BA12)</f>
        <v>0.13333333333333333</v>
      </c>
      <c r="CE12">
        <f>1.911*IF(AX12&lt;&gt;"NA", AVERAGE(AX12,AY12), AVERAGE(AZ12,BA12))</f>
        <v>764.4</v>
      </c>
      <c r="CF12">
        <v>0</v>
      </c>
      <c r="CG12" s="27">
        <f>(CF12/N12)/IF(AX12&lt;&gt;"NA", AX12,AY12)</f>
        <v>0</v>
      </c>
      <c r="CH12">
        <f>CF12/N12</f>
        <v>0</v>
      </c>
    </row>
    <row r="13" spans="1:86" ht="15.6" x14ac:dyDescent="0.3">
      <c r="A13">
        <v>12</v>
      </c>
      <c r="B13" s="20" t="s">
        <v>193</v>
      </c>
      <c r="C13" t="s">
        <v>134</v>
      </c>
      <c r="D13">
        <v>-6.6327439999999998</v>
      </c>
      <c r="E13">
        <v>23.928701</v>
      </c>
      <c r="F13" s="25">
        <v>705</v>
      </c>
      <c r="G13" t="s">
        <v>88</v>
      </c>
      <c r="H13" t="s">
        <v>135</v>
      </c>
      <c r="I13">
        <v>45</v>
      </c>
      <c r="J13" t="s">
        <v>115</v>
      </c>
      <c r="K13" t="s">
        <v>180</v>
      </c>
      <c r="L13" t="s">
        <v>194</v>
      </c>
      <c r="M13">
        <f>10000*5/10000</f>
        <v>5</v>
      </c>
      <c r="N13">
        <f>50*100/10000</f>
        <v>0.5</v>
      </c>
      <c r="O13" t="s">
        <v>138</v>
      </c>
      <c r="P13" t="s">
        <v>195</v>
      </c>
      <c r="Q13">
        <v>60</v>
      </c>
      <c r="R13" s="19">
        <v>44809</v>
      </c>
      <c r="S13" s="19">
        <v>44931</v>
      </c>
      <c r="T13" t="s">
        <v>196</v>
      </c>
      <c r="U13" t="s">
        <v>183</v>
      </c>
      <c r="V13" t="s">
        <v>95</v>
      </c>
      <c r="W13">
        <v>20</v>
      </c>
      <c r="X13" t="s">
        <v>197</v>
      </c>
      <c r="Y13" t="s">
        <v>184</v>
      </c>
      <c r="Z13">
        <v>2</v>
      </c>
      <c r="AA13" t="s">
        <v>98</v>
      </c>
      <c r="AB13" t="s">
        <v>142</v>
      </c>
      <c r="AC13" t="s">
        <v>100</v>
      </c>
      <c r="AD13">
        <v>15</v>
      </c>
      <c r="AE13" s="24">
        <f t="shared" si="0"/>
        <v>50</v>
      </c>
      <c r="AF13" t="s">
        <v>100</v>
      </c>
      <c r="AG13" t="s">
        <v>101</v>
      </c>
      <c r="AH13" t="s">
        <v>198</v>
      </c>
      <c r="AI13" t="s">
        <v>103</v>
      </c>
      <c r="AJ13" t="s">
        <v>103</v>
      </c>
      <c r="AK13" t="s">
        <v>103</v>
      </c>
      <c r="AL13" t="s">
        <v>103</v>
      </c>
      <c r="AM13" t="s">
        <v>103</v>
      </c>
      <c r="AN13" t="s">
        <v>103</v>
      </c>
      <c r="AO13" t="s">
        <v>103</v>
      </c>
      <c r="AP13" s="25" t="s">
        <v>90</v>
      </c>
      <c r="AQ13" s="25" t="s">
        <v>90</v>
      </c>
      <c r="AR13" s="25" t="s">
        <v>90</v>
      </c>
      <c r="AS13" s="25" t="s">
        <v>90</v>
      </c>
      <c r="AT13" s="25" t="s">
        <v>90</v>
      </c>
      <c r="AU13" t="s">
        <v>95</v>
      </c>
      <c r="AV13" t="s">
        <v>105</v>
      </c>
      <c r="AW13" t="s">
        <v>131</v>
      </c>
      <c r="AX13">
        <f>(60*4/$N13)</f>
        <v>480</v>
      </c>
      <c r="AY13">
        <f>(35*4/$N13)</f>
        <v>280</v>
      </c>
      <c r="AZ13">
        <f>AX13+AX13*((100-Q13)/100)</f>
        <v>672</v>
      </c>
      <c r="BA13">
        <f>AY13+AY13*((100-Q13)/100)</f>
        <v>392</v>
      </c>
      <c r="BB13" t="s">
        <v>90</v>
      </c>
      <c r="BC13" t="s">
        <v>90</v>
      </c>
      <c r="BD13">
        <v>240</v>
      </c>
      <c r="BE13">
        <f>BD13+(BD13*Q13)/(100-Q13)</f>
        <v>600</v>
      </c>
      <c r="BF13">
        <f>AX13/AZ13+BD13/BE13</f>
        <v>1.1142857142857143</v>
      </c>
      <c r="BG13">
        <f>5000/4</f>
        <v>1250</v>
      </c>
      <c r="BH13">
        <f>2500/4</f>
        <v>625</v>
      </c>
      <c r="BI13" t="s">
        <v>90</v>
      </c>
      <c r="BJ13" t="s">
        <v>142</v>
      </c>
      <c r="BK13" t="s">
        <v>177</v>
      </c>
      <c r="BL13">
        <v>14</v>
      </c>
      <c r="BM13" t="s">
        <v>109</v>
      </c>
      <c r="BN13" t="s">
        <v>110</v>
      </c>
      <c r="BO13">
        <v>0</v>
      </c>
      <c r="BP13" t="s">
        <v>132</v>
      </c>
      <c r="BQ13" t="str">
        <f>IF(AND(BP13="Not member",G13="KasaiLomami"),"VC3", "VC1 or VC2")</f>
        <v>VC3</v>
      </c>
      <c r="BR13">
        <v>6.3</v>
      </c>
      <c r="BS13" s="24">
        <v>0.15909999999999999</v>
      </c>
      <c r="BT13" s="26">
        <v>17.52436565</v>
      </c>
      <c r="BU13" s="26">
        <v>57.154280999999997</v>
      </c>
      <c r="BV13" s="26">
        <v>25.321388774999999</v>
      </c>
      <c r="BW13" s="26" t="s">
        <v>163</v>
      </c>
      <c r="BX13" s="26">
        <v>39</v>
      </c>
      <c r="BY13" s="26">
        <v>60.03</v>
      </c>
      <c r="BZ13" s="26">
        <v>-13.030000000000001</v>
      </c>
      <c r="CA13" s="26">
        <v>47</v>
      </c>
      <c r="CB13">
        <f>IF(AZ13&lt;&gt;"NA",(10000/AZ13)*(125/365),(10000/BA13)*(125/365))</f>
        <v>5.0962165688193082</v>
      </c>
      <c r="CC13">
        <f>IF(BA13&lt;&gt;"NA",(10000/BA13)*(125/365),(10000/AZ13)*(125/365))</f>
        <v>8.736371260833101</v>
      </c>
      <c r="CD13">
        <f>AE13/AVERAGE(AZ13,BA13)</f>
        <v>9.3984962406015032E-2</v>
      </c>
      <c r="CE13">
        <f>1.911*IF(AX13&lt;&gt;"NA", AVERAGE(AX13,AY13), AVERAGE(AZ13,BA13))</f>
        <v>726.18000000000006</v>
      </c>
      <c r="CF13">
        <v>40</v>
      </c>
      <c r="CG13" s="27">
        <f>(CF13/N13)/IF(AX13&lt;&gt;"NA", AX13,AY13)</f>
        <v>0.16666666666666666</v>
      </c>
      <c r="CH13">
        <f>CF13/N13</f>
        <v>80</v>
      </c>
    </row>
    <row r="14" spans="1:86" ht="15.6" x14ac:dyDescent="0.3">
      <c r="A14">
        <v>13</v>
      </c>
      <c r="B14" s="20" t="s">
        <v>199</v>
      </c>
      <c r="C14" t="s">
        <v>87</v>
      </c>
      <c r="D14">
        <v>-6.6428459999999996</v>
      </c>
      <c r="E14">
        <v>23.928450999999999</v>
      </c>
      <c r="F14" s="25">
        <v>699</v>
      </c>
      <c r="G14" t="s">
        <v>88</v>
      </c>
      <c r="H14" t="s">
        <v>135</v>
      </c>
      <c r="I14">
        <v>44</v>
      </c>
      <c r="J14" t="s">
        <v>115</v>
      </c>
      <c r="K14" t="s">
        <v>200</v>
      </c>
      <c r="L14" t="s">
        <v>201</v>
      </c>
      <c r="M14">
        <f>10000*2.5/10000</f>
        <v>2.5</v>
      </c>
      <c r="N14">
        <f>50*100/10000</f>
        <v>0.5</v>
      </c>
      <c r="O14" t="s">
        <v>202</v>
      </c>
      <c r="P14" t="s">
        <v>93</v>
      </c>
      <c r="Q14">
        <v>60</v>
      </c>
      <c r="R14" s="19">
        <v>44809</v>
      </c>
      <c r="S14" s="19">
        <v>44984</v>
      </c>
      <c r="T14" t="s">
        <v>138</v>
      </c>
      <c r="U14" t="s">
        <v>203</v>
      </c>
      <c r="V14" t="s">
        <v>95</v>
      </c>
      <c r="W14">
        <v>10</v>
      </c>
      <c r="X14" t="s">
        <v>100</v>
      </c>
      <c r="Y14" t="s">
        <v>184</v>
      </c>
      <c r="Z14">
        <v>1</v>
      </c>
      <c r="AA14" t="s">
        <v>98</v>
      </c>
      <c r="AB14" t="s">
        <v>142</v>
      </c>
      <c r="AC14" t="s">
        <v>100</v>
      </c>
      <c r="AD14">
        <v>12</v>
      </c>
      <c r="AE14" s="24">
        <f t="shared" si="0"/>
        <v>40</v>
      </c>
      <c r="AF14" t="s">
        <v>100</v>
      </c>
      <c r="AG14" t="s">
        <v>101</v>
      </c>
      <c r="AH14" t="s">
        <v>175</v>
      </c>
      <c r="AI14" t="s">
        <v>103</v>
      </c>
      <c r="AJ14" t="s">
        <v>103</v>
      </c>
      <c r="AK14" t="s">
        <v>103</v>
      </c>
      <c r="AL14" t="s">
        <v>103</v>
      </c>
      <c r="AM14" t="s">
        <v>103</v>
      </c>
      <c r="AN14" t="s">
        <v>103</v>
      </c>
      <c r="AO14" t="s">
        <v>103</v>
      </c>
      <c r="AP14" s="25" t="s">
        <v>90</v>
      </c>
      <c r="AQ14" t="s">
        <v>161</v>
      </c>
      <c r="AR14" t="s">
        <v>204</v>
      </c>
      <c r="AS14" t="s">
        <v>100</v>
      </c>
      <c r="AT14" t="s">
        <v>103</v>
      </c>
      <c r="AU14" t="s">
        <v>205</v>
      </c>
      <c r="AV14" t="s">
        <v>105</v>
      </c>
      <c r="AW14" t="s">
        <v>206</v>
      </c>
      <c r="AX14">
        <f>(72*4/$N14)</f>
        <v>576</v>
      </c>
      <c r="AY14">
        <f>(50*4/$N14)</f>
        <v>400</v>
      </c>
      <c r="AZ14">
        <f>AX14+AX14*((100-Q14)/100)</f>
        <v>806.4</v>
      </c>
      <c r="BA14">
        <f>AY14+AY14*((100-Q14)/100)</f>
        <v>560</v>
      </c>
      <c r="BB14" t="s">
        <v>90</v>
      </c>
      <c r="BC14" t="s">
        <v>90</v>
      </c>
      <c r="BD14">
        <f>70/$N14</f>
        <v>140</v>
      </c>
      <c r="BE14">
        <f>BD14+(BD14*Q14)/(100-Q14)</f>
        <v>350</v>
      </c>
      <c r="BF14">
        <f>AX14/AZ14+BD14/BE14</f>
        <v>1.1142857142857143</v>
      </c>
      <c r="BG14">
        <f>5000/4</f>
        <v>1250</v>
      </c>
      <c r="BH14">
        <f>2500/4</f>
        <v>625</v>
      </c>
      <c r="BI14" t="s">
        <v>90</v>
      </c>
      <c r="BJ14" t="s">
        <v>142</v>
      </c>
      <c r="BK14" t="s">
        <v>177</v>
      </c>
      <c r="BL14">
        <v>13</v>
      </c>
      <c r="BM14" t="s">
        <v>109</v>
      </c>
      <c r="BN14" t="s">
        <v>110</v>
      </c>
      <c r="BO14">
        <v>0</v>
      </c>
      <c r="BP14" t="s">
        <v>132</v>
      </c>
      <c r="BQ14" t="str">
        <f>IF(AND(BP14="Not member",G14="KasaiLomami"),"VC3", "VC1 or VC2")</f>
        <v>VC3</v>
      </c>
      <c r="BR14">
        <v>5.5</v>
      </c>
      <c r="BS14" s="24">
        <v>8.7800000000000003E-2</v>
      </c>
      <c r="BT14" s="26">
        <v>14.343475720000001</v>
      </c>
      <c r="BU14" s="26">
        <v>81.086153999999993</v>
      </c>
      <c r="BV14" s="26">
        <v>4.5703632499999998</v>
      </c>
      <c r="BW14" s="26" t="s">
        <v>163</v>
      </c>
      <c r="BX14" s="26">
        <v>39</v>
      </c>
      <c r="BY14" s="26">
        <v>49.8</v>
      </c>
      <c r="BZ14" s="26">
        <v>-2.7999999999999972</v>
      </c>
      <c r="CA14" s="26">
        <v>47</v>
      </c>
      <c r="CB14">
        <f>IF(AZ14&lt;&gt;"NA",(10000/AZ14)*(125/365),(10000/BA14)*(125/365))</f>
        <v>4.2468471406827568</v>
      </c>
      <c r="CC14">
        <f>IF(BA14&lt;&gt;"NA",(10000/BA14)*(125/365),(10000/AZ14)*(125/365))</f>
        <v>6.1154598825831705</v>
      </c>
      <c r="CD14">
        <f>AE14/AVERAGE(AZ14,BA14)</f>
        <v>5.8548009367681494E-2</v>
      </c>
      <c r="CE14">
        <f>1.911*IF(AX14&lt;&gt;"NA", AVERAGE(AX14,AY14), AVERAGE(AZ14,BA14))</f>
        <v>932.56799999999998</v>
      </c>
      <c r="CF14">
        <v>0</v>
      </c>
      <c r="CG14" s="27">
        <f>(CF14/N14)/IF(AX14&lt;&gt;"NA", AX14,AY14)</f>
        <v>0</v>
      </c>
      <c r="CH14">
        <f>CF14/N14</f>
        <v>0</v>
      </c>
    </row>
    <row r="15" spans="1:86" ht="15.6" x14ac:dyDescent="0.3">
      <c r="A15">
        <v>14</v>
      </c>
      <c r="B15" s="20" t="s">
        <v>207</v>
      </c>
      <c r="C15" t="s">
        <v>134</v>
      </c>
      <c r="D15">
        <v>-6.5923639999999999</v>
      </c>
      <c r="E15">
        <v>23.908338000000001</v>
      </c>
      <c r="F15" s="25">
        <v>669</v>
      </c>
      <c r="G15" t="s">
        <v>88</v>
      </c>
      <c r="H15" t="s">
        <v>135</v>
      </c>
      <c r="I15">
        <v>49</v>
      </c>
      <c r="J15" t="s">
        <v>91</v>
      </c>
      <c r="K15" t="s">
        <v>208</v>
      </c>
      <c r="L15" t="s">
        <v>208</v>
      </c>
      <c r="M15">
        <f>3*10000/10000</f>
        <v>3</v>
      </c>
      <c r="N15">
        <f>25*50/10000</f>
        <v>0.125</v>
      </c>
      <c r="O15" t="s">
        <v>92</v>
      </c>
      <c r="P15" t="s">
        <v>93</v>
      </c>
      <c r="Q15">
        <v>100</v>
      </c>
      <c r="R15" s="19">
        <v>44809</v>
      </c>
      <c r="S15" s="19">
        <v>44972</v>
      </c>
      <c r="T15" t="s">
        <v>92</v>
      </c>
      <c r="U15" t="s">
        <v>183</v>
      </c>
      <c r="V15" t="s">
        <v>95</v>
      </c>
      <c r="W15">
        <v>10</v>
      </c>
      <c r="X15" t="s">
        <v>100</v>
      </c>
      <c r="Y15" t="s">
        <v>184</v>
      </c>
      <c r="Z15" s="25">
        <v>1</v>
      </c>
      <c r="AA15" t="s">
        <v>98</v>
      </c>
      <c r="AB15" t="s">
        <v>209</v>
      </c>
      <c r="AC15" t="s">
        <v>100</v>
      </c>
      <c r="AD15">
        <v>5</v>
      </c>
      <c r="AE15" s="24">
        <f t="shared" si="0"/>
        <v>40</v>
      </c>
      <c r="AF15" t="s">
        <v>100</v>
      </c>
      <c r="AG15" t="s">
        <v>101</v>
      </c>
      <c r="AH15" t="s">
        <v>102</v>
      </c>
      <c r="AI15" t="s">
        <v>103</v>
      </c>
      <c r="AJ15" t="s">
        <v>103</v>
      </c>
      <c r="AK15" t="s">
        <v>103</v>
      </c>
      <c r="AL15" t="s">
        <v>103</v>
      </c>
      <c r="AM15" t="s">
        <v>103</v>
      </c>
      <c r="AN15" t="s">
        <v>103</v>
      </c>
      <c r="AO15" t="s">
        <v>103</v>
      </c>
      <c r="AP15" t="s">
        <v>210</v>
      </c>
      <c r="AQ15" t="s">
        <v>161</v>
      </c>
      <c r="AR15" t="s">
        <v>204</v>
      </c>
      <c r="AS15" t="s">
        <v>100</v>
      </c>
      <c r="AT15" t="s">
        <v>103</v>
      </c>
      <c r="AU15" t="s">
        <v>95</v>
      </c>
      <c r="AV15" t="s">
        <v>105</v>
      </c>
      <c r="AW15" t="s">
        <v>125</v>
      </c>
      <c r="AX15">
        <f>(31*4/$N15)</f>
        <v>992</v>
      </c>
      <c r="AY15">
        <f>(22*4/$N15)</f>
        <v>704</v>
      </c>
      <c r="AZ15">
        <f>AX15+AX15*((100-Q15)/100)</f>
        <v>992</v>
      </c>
      <c r="BA15">
        <f>AY15+AY15*((100-Q15)/100)</f>
        <v>704</v>
      </c>
      <c r="BB15" t="s">
        <v>90</v>
      </c>
      <c r="BC15" t="s">
        <v>90</v>
      </c>
      <c r="BD15" t="s">
        <v>90</v>
      </c>
      <c r="BE15" t="s">
        <v>90</v>
      </c>
      <c r="BF15">
        <v>1</v>
      </c>
      <c r="BG15">
        <f>5500/4</f>
        <v>1375</v>
      </c>
      <c r="BH15">
        <f>2800/4</f>
        <v>700</v>
      </c>
      <c r="BI15" t="s">
        <v>90</v>
      </c>
      <c r="BJ15" t="s">
        <v>142</v>
      </c>
      <c r="BK15" t="s">
        <v>177</v>
      </c>
      <c r="BL15">
        <v>13</v>
      </c>
      <c r="BM15" t="s">
        <v>109</v>
      </c>
      <c r="BN15" t="s">
        <v>110</v>
      </c>
      <c r="BO15">
        <v>0</v>
      </c>
      <c r="BP15" t="s">
        <v>132</v>
      </c>
      <c r="BQ15" t="str">
        <f>IF(AND(BP15="Not member",G15="KasaiLomami"),"VC3", "VC1 or VC2")</f>
        <v>VC3</v>
      </c>
      <c r="BR15">
        <v>6.15</v>
      </c>
      <c r="BS15" s="24">
        <v>0.18</v>
      </c>
      <c r="BT15" s="26">
        <v>38.339657183340002</v>
      </c>
      <c r="BU15" s="26">
        <v>40.09816</v>
      </c>
      <c r="BV15" s="26">
        <v>21.562201600000002</v>
      </c>
      <c r="BW15" s="26" t="s">
        <v>192</v>
      </c>
      <c r="BX15" s="26">
        <v>47</v>
      </c>
      <c r="BY15" s="26">
        <v>40.799999999999997</v>
      </c>
      <c r="BZ15" s="26">
        <v>6.2000000000000028</v>
      </c>
      <c r="CA15" s="26">
        <v>47</v>
      </c>
      <c r="CB15">
        <f>IF(AZ15&lt;&gt;"NA",(10000/AZ15)*(125/365),(10000/BA15)*(125/365))</f>
        <v>3.4522757401679183</v>
      </c>
      <c r="CC15">
        <f>IF(BA15&lt;&gt;"NA",(10000/BA15)*(125/365),(10000/AZ15)*(125/365))</f>
        <v>4.8645703611457032</v>
      </c>
      <c r="CD15">
        <f>AE15/AVERAGE(AZ15,BA15)</f>
        <v>4.716981132075472E-2</v>
      </c>
      <c r="CE15">
        <f>1.911*IF(AX15&lt;&gt;"NA", AVERAGE(AX15,AY15), AVERAGE(AZ15,BA15))</f>
        <v>1620.528</v>
      </c>
      <c r="CF15">
        <v>0</v>
      </c>
      <c r="CG15" s="27">
        <f>(CF15/N15)/IF(AX15&lt;&gt;"NA", AX15,AY15)</f>
        <v>0</v>
      </c>
      <c r="CH15">
        <f>CF15/N15</f>
        <v>0</v>
      </c>
    </row>
    <row r="16" spans="1:86" ht="15.6" x14ac:dyDescent="0.3">
      <c r="A16">
        <v>15</v>
      </c>
      <c r="B16" s="20" t="s">
        <v>211</v>
      </c>
      <c r="C16" t="s">
        <v>87</v>
      </c>
      <c r="D16">
        <v>-6.6336944400000002</v>
      </c>
      <c r="E16">
        <v>23.899027780000001</v>
      </c>
      <c r="F16">
        <v>779</v>
      </c>
      <c r="G16" t="s">
        <v>88</v>
      </c>
      <c r="H16" t="s">
        <v>135</v>
      </c>
      <c r="I16">
        <v>49</v>
      </c>
      <c r="J16" t="s">
        <v>115</v>
      </c>
      <c r="K16" t="s">
        <v>212</v>
      </c>
      <c r="L16" t="s">
        <v>201</v>
      </c>
      <c r="M16">
        <f>100*350/10000</f>
        <v>3.5</v>
      </c>
      <c r="N16">
        <f>100*50/10000</f>
        <v>0.5</v>
      </c>
      <c r="O16" t="s">
        <v>213</v>
      </c>
      <c r="P16" t="s">
        <v>93</v>
      </c>
      <c r="Q16">
        <v>60</v>
      </c>
      <c r="R16" s="19">
        <v>44819</v>
      </c>
      <c r="S16" s="19">
        <v>44958</v>
      </c>
      <c r="T16" t="s">
        <v>214</v>
      </c>
      <c r="U16" t="s">
        <v>183</v>
      </c>
      <c r="V16" t="s">
        <v>95</v>
      </c>
      <c r="W16">
        <v>10</v>
      </c>
      <c r="X16" t="s">
        <v>100</v>
      </c>
      <c r="Y16" t="s">
        <v>184</v>
      </c>
      <c r="Z16">
        <v>2</v>
      </c>
      <c r="AA16" t="s">
        <v>98</v>
      </c>
      <c r="AB16" t="s">
        <v>151</v>
      </c>
      <c r="AC16" t="s">
        <v>100</v>
      </c>
      <c r="AD16">
        <v>11</v>
      </c>
      <c r="AE16" s="24">
        <f t="shared" si="0"/>
        <v>36.666666666666671</v>
      </c>
      <c r="AF16" t="s">
        <v>100</v>
      </c>
      <c r="AG16" t="s">
        <v>101</v>
      </c>
      <c r="AH16" t="s">
        <v>215</v>
      </c>
      <c r="AI16" t="s">
        <v>103</v>
      </c>
      <c r="AJ16" t="s">
        <v>103</v>
      </c>
      <c r="AK16" t="s">
        <v>103</v>
      </c>
      <c r="AL16" t="s">
        <v>103</v>
      </c>
      <c r="AM16" t="s">
        <v>103</v>
      </c>
      <c r="AN16" t="s">
        <v>103</v>
      </c>
      <c r="AO16" t="s">
        <v>103</v>
      </c>
      <c r="AP16" s="25" t="s">
        <v>90</v>
      </c>
      <c r="AQ16" t="s">
        <v>216</v>
      </c>
      <c r="AR16">
        <v>0</v>
      </c>
      <c r="AS16" t="s">
        <v>100</v>
      </c>
      <c r="AT16" t="s">
        <v>103</v>
      </c>
      <c r="AU16" t="s">
        <v>95</v>
      </c>
      <c r="AV16" t="s">
        <v>105</v>
      </c>
      <c r="AW16" t="s">
        <v>157</v>
      </c>
      <c r="AX16">
        <f>(75*4/$N16)</f>
        <v>600</v>
      </c>
      <c r="AY16">
        <f>(46*4/$N16)</f>
        <v>368</v>
      </c>
      <c r="AZ16">
        <f>AX16+AX16*((100-Q16)/100)</f>
        <v>840</v>
      </c>
      <c r="BA16">
        <f>AY16+AY16*((100-Q16)/100)</f>
        <v>515.20000000000005</v>
      </c>
      <c r="BB16">
        <f>(140*4/$N16)</f>
        <v>1120</v>
      </c>
      <c r="BC16">
        <f>BB16+(BB16*Q16)/(100-Q16)</f>
        <v>2800</v>
      </c>
      <c r="BD16">
        <f>100*4/$N16</f>
        <v>800</v>
      </c>
      <c r="BE16">
        <f>BD16+(BD16*Q16)/(100-Q16)</f>
        <v>2000</v>
      </c>
      <c r="BF16">
        <f>AX16/AZ16+BD16/BE16</f>
        <v>1.1142857142857143</v>
      </c>
      <c r="BG16">
        <f>5500/4</f>
        <v>1375</v>
      </c>
      <c r="BH16">
        <f>2500/4</f>
        <v>625</v>
      </c>
      <c r="BI16" t="s">
        <v>90</v>
      </c>
      <c r="BJ16" t="s">
        <v>142</v>
      </c>
      <c r="BK16" t="s">
        <v>177</v>
      </c>
      <c r="BL16">
        <v>13</v>
      </c>
      <c r="BM16" t="s">
        <v>109</v>
      </c>
      <c r="BN16" t="s">
        <v>110</v>
      </c>
      <c r="BO16">
        <v>0</v>
      </c>
      <c r="BP16" t="s">
        <v>132</v>
      </c>
      <c r="BQ16" t="str">
        <f>IF(AND(BP16="Not member",G16="KasaiLomami"),"VC3", "VC1 or VC2")</f>
        <v>VC3</v>
      </c>
      <c r="BR16">
        <v>6</v>
      </c>
      <c r="BS16" s="24">
        <v>6.4399999999999999E-2</v>
      </c>
      <c r="BT16" s="26">
        <v>15.52432488</v>
      </c>
      <c r="BU16" s="26">
        <v>59.154280999999997</v>
      </c>
      <c r="BV16" s="26">
        <v>25.321388247200002</v>
      </c>
      <c r="BW16" s="26" t="s">
        <v>163</v>
      </c>
      <c r="BX16" s="26">
        <v>39</v>
      </c>
      <c r="BY16" s="26">
        <v>33.839999999999996</v>
      </c>
      <c r="BZ16" s="26">
        <v>13.160000000000004</v>
      </c>
      <c r="CA16" s="26">
        <v>47</v>
      </c>
      <c r="CB16">
        <f>IF(AZ16&lt;&gt;"NA",(10000/AZ16)*(125/365),(10000/BA16)*(125/365))</f>
        <v>4.0769732550554467</v>
      </c>
      <c r="CC16">
        <f>IF(BA16&lt;&gt;"NA",(10000/BA16)*(125/365),(10000/AZ16)*(125/365))</f>
        <v>6.6472390028077921</v>
      </c>
      <c r="CD16">
        <f>AE16/AVERAGE(AZ16,BA16)</f>
        <v>5.4112554112554119E-2</v>
      </c>
      <c r="CE16">
        <f>1.911*IF(AX16&lt;&gt;"NA", AVERAGE(AX16,AY16), AVERAGE(AZ16,BA16))</f>
        <v>924.92399999999998</v>
      </c>
      <c r="CF16">
        <v>15</v>
      </c>
      <c r="CG16" s="27">
        <f>(CF16/N16)/IF(AX16&lt;&gt;"NA", AX16,AY16)</f>
        <v>0.05</v>
      </c>
      <c r="CH16">
        <f>CF16/N16</f>
        <v>30</v>
      </c>
    </row>
    <row r="17" spans="1:86" ht="15.6" x14ac:dyDescent="0.3">
      <c r="A17">
        <v>16</v>
      </c>
      <c r="B17" s="20" t="s">
        <v>217</v>
      </c>
      <c r="C17" t="s">
        <v>87</v>
      </c>
      <c r="D17">
        <v>-6.7377690000000001</v>
      </c>
      <c r="E17">
        <v>23.894814</v>
      </c>
      <c r="F17" s="25">
        <v>753</v>
      </c>
      <c r="G17" t="s">
        <v>88</v>
      </c>
      <c r="H17" t="s">
        <v>135</v>
      </c>
      <c r="I17">
        <v>37</v>
      </c>
      <c r="J17" t="s">
        <v>115</v>
      </c>
      <c r="K17" t="s">
        <v>180</v>
      </c>
      <c r="L17" t="s">
        <v>194</v>
      </c>
      <c r="M17">
        <f>10000*5/10000</f>
        <v>5</v>
      </c>
      <c r="N17">
        <f>25*100/10000</f>
        <v>0.25</v>
      </c>
      <c r="O17" t="s">
        <v>92</v>
      </c>
      <c r="P17" t="s">
        <v>218</v>
      </c>
      <c r="Q17">
        <v>100</v>
      </c>
      <c r="R17" s="19">
        <v>44809</v>
      </c>
      <c r="S17" s="19">
        <v>44972</v>
      </c>
      <c r="T17" t="s">
        <v>196</v>
      </c>
      <c r="U17" t="s">
        <v>183</v>
      </c>
      <c r="V17" t="s">
        <v>95</v>
      </c>
      <c r="W17">
        <v>10</v>
      </c>
      <c r="X17" t="s">
        <v>100</v>
      </c>
      <c r="Y17" t="s">
        <v>184</v>
      </c>
      <c r="Z17">
        <v>2</v>
      </c>
      <c r="AA17" t="s">
        <v>98</v>
      </c>
      <c r="AB17" t="s">
        <v>142</v>
      </c>
      <c r="AC17" t="s">
        <v>100</v>
      </c>
      <c r="AD17">
        <v>15</v>
      </c>
      <c r="AE17" s="24">
        <f t="shared" si="0"/>
        <v>60</v>
      </c>
      <c r="AF17" t="s">
        <v>100</v>
      </c>
      <c r="AG17" t="s">
        <v>101</v>
      </c>
      <c r="AH17" t="s">
        <v>198</v>
      </c>
      <c r="AI17" t="s">
        <v>103</v>
      </c>
      <c r="AJ17" t="s">
        <v>103</v>
      </c>
      <c r="AK17" t="s">
        <v>103</v>
      </c>
      <c r="AL17" t="s">
        <v>103</v>
      </c>
      <c r="AM17" t="s">
        <v>103</v>
      </c>
      <c r="AN17" t="s">
        <v>103</v>
      </c>
      <c r="AO17" t="s">
        <v>103</v>
      </c>
      <c r="AP17" s="25" t="s">
        <v>90</v>
      </c>
      <c r="AQ17" s="25" t="s">
        <v>90</v>
      </c>
      <c r="AR17" s="25" t="s">
        <v>90</v>
      </c>
      <c r="AS17" s="25" t="s">
        <v>90</v>
      </c>
      <c r="AT17" s="25" t="s">
        <v>90</v>
      </c>
      <c r="AU17" t="s">
        <v>95</v>
      </c>
      <c r="AV17" t="s">
        <v>105</v>
      </c>
      <c r="AW17" t="s">
        <v>131</v>
      </c>
      <c r="AX17" t="s">
        <v>90</v>
      </c>
      <c r="AY17">
        <f>(28*4/$N17)</f>
        <v>448</v>
      </c>
      <c r="AZ17" t="s">
        <v>90</v>
      </c>
      <c r="BA17">
        <f>AY17+AY17*((100-Q17)/100)</f>
        <v>448</v>
      </c>
      <c r="BB17" t="s">
        <v>90</v>
      </c>
      <c r="BC17" t="s">
        <v>90</v>
      </c>
      <c r="BD17" t="s">
        <v>90</v>
      </c>
      <c r="BE17" t="s">
        <v>90</v>
      </c>
      <c r="BF17">
        <v>1</v>
      </c>
      <c r="BG17">
        <f>5500/4</f>
        <v>1375</v>
      </c>
      <c r="BH17">
        <f>2500/4</f>
        <v>625</v>
      </c>
      <c r="BI17" t="s">
        <v>90</v>
      </c>
      <c r="BJ17" t="s">
        <v>142</v>
      </c>
      <c r="BK17" t="s">
        <v>177</v>
      </c>
      <c r="BL17">
        <v>13</v>
      </c>
      <c r="BM17" t="s">
        <v>109</v>
      </c>
      <c r="BN17" t="s">
        <v>110</v>
      </c>
      <c r="BO17">
        <v>0</v>
      </c>
      <c r="BP17" t="s">
        <v>132</v>
      </c>
      <c r="BQ17" t="str">
        <f>IF(AND(BP17="Not member",G17="KasaiLomami"),"VC3", "VC1 or VC2")</f>
        <v>VC3</v>
      </c>
      <c r="BR17">
        <v>5.32</v>
      </c>
      <c r="BS17" s="24">
        <v>8.9800000000000005E-2</v>
      </c>
      <c r="BT17" s="26">
        <v>20.885071813469999</v>
      </c>
      <c r="BU17" s="26">
        <v>34.717815000000002</v>
      </c>
      <c r="BV17" s="26">
        <v>44.397117440000002</v>
      </c>
      <c r="BW17" s="26" t="s">
        <v>168</v>
      </c>
      <c r="BX17" s="26">
        <v>39</v>
      </c>
      <c r="BY17" s="26">
        <v>32.85</v>
      </c>
      <c r="BZ17" s="26">
        <v>14.149999999999999</v>
      </c>
      <c r="CA17" s="26">
        <v>47</v>
      </c>
      <c r="CB17">
        <f>IF(AZ17&lt;&gt;"NA",(10000/AZ17)*(125/365),(10000/BA17)*(125/365))</f>
        <v>7.6443248532289632</v>
      </c>
      <c r="CC17">
        <f>IF(BA17&lt;&gt;"NA",(10000/BA17)*(125/365),(10000/AZ17)*(125/365))</f>
        <v>7.6443248532289632</v>
      </c>
      <c r="CD17">
        <f>AE17/AVERAGE(AZ17,BA17)</f>
        <v>0.13392857142857142</v>
      </c>
      <c r="CE17">
        <f>1.911*IF(AX17&lt;&gt;"NA", AVERAGE(AX17,AY17), AVERAGE(AZ17,BA17))</f>
        <v>856.12800000000004</v>
      </c>
      <c r="CF17">
        <v>0</v>
      </c>
      <c r="CG17" s="27">
        <f>(CF17/N17)/IF(AX17&lt;&gt;"NA", AX17,AY17)</f>
        <v>0</v>
      </c>
      <c r="CH17">
        <f>CF17/N17</f>
        <v>0</v>
      </c>
    </row>
    <row r="18" spans="1:86" ht="15.6" x14ac:dyDescent="0.3">
      <c r="A18">
        <v>17</v>
      </c>
      <c r="B18" s="20" t="s">
        <v>219</v>
      </c>
      <c r="C18" t="s">
        <v>87</v>
      </c>
      <c r="D18">
        <v>-6.7373050000000001</v>
      </c>
      <c r="E18">
        <v>23.894860999999999</v>
      </c>
      <c r="F18">
        <v>746</v>
      </c>
      <c r="G18" t="s">
        <v>88</v>
      </c>
      <c r="H18" t="s">
        <v>135</v>
      </c>
      <c r="I18">
        <v>41</v>
      </c>
      <c r="J18" t="s">
        <v>115</v>
      </c>
      <c r="K18" t="s">
        <v>220</v>
      </c>
      <c r="L18" t="s">
        <v>220</v>
      </c>
      <c r="M18">
        <f>10000*10/10000</f>
        <v>10</v>
      </c>
      <c r="N18">
        <f>50*65/10000</f>
        <v>0.32500000000000001</v>
      </c>
      <c r="O18" t="s">
        <v>172</v>
      </c>
      <c r="P18" t="s">
        <v>93</v>
      </c>
      <c r="Q18">
        <v>50</v>
      </c>
      <c r="R18" s="19">
        <v>44814</v>
      </c>
      <c r="S18" s="19">
        <v>44951</v>
      </c>
      <c r="T18" t="s">
        <v>138</v>
      </c>
      <c r="U18" t="s">
        <v>174</v>
      </c>
      <c r="V18" t="s">
        <v>95</v>
      </c>
      <c r="W18">
        <v>10</v>
      </c>
      <c r="X18" t="s">
        <v>100</v>
      </c>
      <c r="Y18" t="s">
        <v>184</v>
      </c>
      <c r="Z18">
        <v>2</v>
      </c>
      <c r="AA18" t="s">
        <v>98</v>
      </c>
      <c r="AB18" t="s">
        <v>99</v>
      </c>
      <c r="AC18" t="s">
        <v>100</v>
      </c>
      <c r="AD18">
        <v>9</v>
      </c>
      <c r="AE18" s="24">
        <f t="shared" si="0"/>
        <v>55.38461538461538</v>
      </c>
      <c r="AF18" t="s">
        <v>100</v>
      </c>
      <c r="AG18" t="s">
        <v>101</v>
      </c>
      <c r="AH18" t="s">
        <v>102</v>
      </c>
      <c r="AI18" t="s">
        <v>103</v>
      </c>
      <c r="AJ18" t="s">
        <v>103</v>
      </c>
      <c r="AK18" t="s">
        <v>103</v>
      </c>
      <c r="AL18" t="s">
        <v>103</v>
      </c>
      <c r="AM18" t="s">
        <v>103</v>
      </c>
      <c r="AN18" t="s">
        <v>103</v>
      </c>
      <c r="AO18" t="s">
        <v>103</v>
      </c>
      <c r="AP18" t="s">
        <v>210</v>
      </c>
      <c r="AQ18" t="s">
        <v>216</v>
      </c>
      <c r="AR18">
        <v>0</v>
      </c>
      <c r="AS18" t="s">
        <v>100</v>
      </c>
      <c r="AT18" t="s">
        <v>103</v>
      </c>
      <c r="AU18" t="s">
        <v>95</v>
      </c>
      <c r="AV18" t="s">
        <v>105</v>
      </c>
      <c r="AW18" t="s">
        <v>153</v>
      </c>
      <c r="AX18">
        <f>(50*4/$N18)</f>
        <v>615.38461538461536</v>
      </c>
      <c r="AY18">
        <f>(18*4/$N18)</f>
        <v>221.53846153846152</v>
      </c>
      <c r="AZ18">
        <f>AX18+AX18*((100-Q18)/100)</f>
        <v>923.07692307692309</v>
      </c>
      <c r="BA18">
        <f>AY18+AY18*((100-Q18)/100)</f>
        <v>332.30769230769226</v>
      </c>
      <c r="BB18" t="s">
        <v>90</v>
      </c>
      <c r="BC18" t="s">
        <v>90</v>
      </c>
      <c r="BD18">
        <f>70*4/$N18</f>
        <v>861.53846153846155</v>
      </c>
      <c r="BE18">
        <f>BD18+(BD18*Q18)/(100-Q18)</f>
        <v>1723.0769230769231</v>
      </c>
      <c r="BF18">
        <f>AX18/AZ18+BD18/BE18</f>
        <v>1.1666666666666665</v>
      </c>
      <c r="BG18">
        <f>5500/4</f>
        <v>1375</v>
      </c>
      <c r="BH18">
        <f>3000/4</f>
        <v>750</v>
      </c>
      <c r="BI18" t="s">
        <v>90</v>
      </c>
      <c r="BJ18" t="s">
        <v>142</v>
      </c>
      <c r="BK18" t="s">
        <v>221</v>
      </c>
      <c r="BL18">
        <v>13</v>
      </c>
      <c r="BM18" t="s">
        <v>109</v>
      </c>
      <c r="BN18" t="s">
        <v>110</v>
      </c>
      <c r="BO18">
        <v>0</v>
      </c>
      <c r="BP18" t="s">
        <v>132</v>
      </c>
      <c r="BQ18" t="str">
        <f>IF(AND(BP18="Not member",G18="KasaiLomami"),"VC3", "VC1 or VC2")</f>
        <v>VC3</v>
      </c>
      <c r="BR18">
        <v>5.49</v>
      </c>
      <c r="BS18" s="24">
        <v>4.8800000000000003E-2</v>
      </c>
      <c r="BT18" s="26">
        <v>12.928872999999999</v>
      </c>
      <c r="BU18" s="26">
        <v>40.696111000000002</v>
      </c>
      <c r="BV18" s="26">
        <v>50.379648709999998</v>
      </c>
      <c r="BW18" s="26" t="s">
        <v>168</v>
      </c>
      <c r="BX18" s="26">
        <v>39</v>
      </c>
      <c r="BY18" s="26">
        <v>23.433</v>
      </c>
      <c r="BZ18" s="26">
        <v>23.567</v>
      </c>
      <c r="CA18" s="26">
        <v>47</v>
      </c>
      <c r="CB18">
        <f>IF(AZ18&lt;&gt;"NA",(10000/AZ18)*(125/365),(10000/BA18)*(125/365))</f>
        <v>3.7100456621004567</v>
      </c>
      <c r="CC18">
        <f>IF(BA18&lt;&gt;"NA",(10000/BA18)*(125/365),(10000/AZ18)*(125/365))</f>
        <v>10.30568239472349</v>
      </c>
      <c r="CD18">
        <f>AE18/AVERAGE(AZ18,BA18)</f>
        <v>8.8235294117647065E-2</v>
      </c>
      <c r="CE18">
        <f>1.911*IF(AX18&lt;&gt;"NA", AVERAGE(AX18,AY18), AVERAGE(AZ18,BA18))</f>
        <v>799.68</v>
      </c>
      <c r="CF18">
        <v>0</v>
      </c>
      <c r="CG18" s="27">
        <f>(CF18/N18)/IF(AX18&lt;&gt;"NA", AX18,AY18)</f>
        <v>0</v>
      </c>
      <c r="CH18">
        <f>CF18/N18</f>
        <v>0</v>
      </c>
    </row>
    <row r="19" spans="1:86" ht="15.6" x14ac:dyDescent="0.3">
      <c r="A19">
        <v>18</v>
      </c>
      <c r="B19" s="20" t="s">
        <v>222</v>
      </c>
      <c r="C19" t="s">
        <v>134</v>
      </c>
      <c r="D19" s="22">
        <v>-6.8055399999999997</v>
      </c>
      <c r="E19" s="22">
        <v>24.198923400000002</v>
      </c>
      <c r="F19" s="25">
        <v>647</v>
      </c>
      <c r="G19" t="s">
        <v>88</v>
      </c>
      <c r="H19" t="s">
        <v>135</v>
      </c>
      <c r="I19">
        <v>40</v>
      </c>
      <c r="J19" t="s">
        <v>115</v>
      </c>
      <c r="K19" t="s">
        <v>223</v>
      </c>
      <c r="L19" t="s">
        <v>223</v>
      </c>
      <c r="M19">
        <f>6*10000/10000</f>
        <v>6</v>
      </c>
      <c r="N19">
        <f>150*50/10000</f>
        <v>0.75</v>
      </c>
      <c r="O19" t="s">
        <v>223</v>
      </c>
      <c r="P19" t="s">
        <v>93</v>
      </c>
      <c r="Q19">
        <v>60</v>
      </c>
      <c r="R19" s="19">
        <v>44805</v>
      </c>
      <c r="S19" s="19">
        <v>44936</v>
      </c>
      <c r="T19" t="s">
        <v>223</v>
      </c>
      <c r="U19" t="s">
        <v>224</v>
      </c>
      <c r="V19" t="s">
        <v>95</v>
      </c>
      <c r="W19">
        <v>10</v>
      </c>
      <c r="X19" t="s">
        <v>100</v>
      </c>
      <c r="Y19" t="s">
        <v>97</v>
      </c>
      <c r="Z19">
        <v>2</v>
      </c>
      <c r="AA19" t="s">
        <v>98</v>
      </c>
      <c r="AB19" t="s">
        <v>142</v>
      </c>
      <c r="AC19" t="s">
        <v>100</v>
      </c>
      <c r="AD19">
        <v>15</v>
      </c>
      <c r="AE19" s="24">
        <f t="shared" si="0"/>
        <v>33.333333333333336</v>
      </c>
      <c r="AF19" t="s">
        <v>100</v>
      </c>
      <c r="AG19" t="s">
        <v>101</v>
      </c>
      <c r="AH19" t="s">
        <v>175</v>
      </c>
      <c r="AI19" t="s">
        <v>103</v>
      </c>
      <c r="AJ19" t="s">
        <v>103</v>
      </c>
      <c r="AK19" t="s">
        <v>103</v>
      </c>
      <c r="AL19" t="s">
        <v>103</v>
      </c>
      <c r="AM19" t="s">
        <v>103</v>
      </c>
      <c r="AN19" t="s">
        <v>103</v>
      </c>
      <c r="AO19" t="s">
        <v>103</v>
      </c>
      <c r="AP19" s="25" t="s">
        <v>90</v>
      </c>
      <c r="AQ19" t="s">
        <v>103</v>
      </c>
      <c r="AR19">
        <v>0</v>
      </c>
      <c r="AS19" t="s">
        <v>100</v>
      </c>
      <c r="AT19" t="s">
        <v>103</v>
      </c>
      <c r="AU19" t="s">
        <v>95</v>
      </c>
      <c r="AV19" t="s">
        <v>105</v>
      </c>
      <c r="AW19" t="s">
        <v>157</v>
      </c>
      <c r="AX19">
        <f>(112.5*4/$N19)</f>
        <v>600</v>
      </c>
      <c r="AY19">
        <f>(90*4/$N19)</f>
        <v>480</v>
      </c>
      <c r="AZ19">
        <f>AX19+AX19*((100-Q19)/100)</f>
        <v>840</v>
      </c>
      <c r="BA19">
        <f>AY19+AY19*((100-Q19)/100)</f>
        <v>672</v>
      </c>
      <c r="BB19" t="s">
        <v>90</v>
      </c>
      <c r="BC19" t="s">
        <v>90</v>
      </c>
      <c r="BD19">
        <f>100*4/$N19</f>
        <v>533.33333333333337</v>
      </c>
      <c r="BE19">
        <f>BD19+(BD19*Q19)/(100-Q19)</f>
        <v>1333.3333333333335</v>
      </c>
      <c r="BF19">
        <f>AX19/AZ19+BD19/BE19</f>
        <v>1.1142857142857143</v>
      </c>
      <c r="BG19">
        <f>5000/4</f>
        <v>1250</v>
      </c>
      <c r="BH19">
        <v>850</v>
      </c>
      <c r="BI19" t="s">
        <v>90</v>
      </c>
      <c r="BJ19" t="s">
        <v>225</v>
      </c>
      <c r="BK19" t="s">
        <v>108</v>
      </c>
      <c r="BL19">
        <v>13</v>
      </c>
      <c r="BM19" t="s">
        <v>109</v>
      </c>
      <c r="BN19" t="s">
        <v>110</v>
      </c>
      <c r="BO19">
        <v>1</v>
      </c>
      <c r="BP19" t="s">
        <v>145</v>
      </c>
      <c r="BQ19" t="s">
        <v>146</v>
      </c>
      <c r="BR19">
        <v>6.16</v>
      </c>
      <c r="BS19" s="24">
        <v>0.1399</v>
      </c>
      <c r="BT19" s="26">
        <v>17.10748227282</v>
      </c>
      <c r="BU19" s="26">
        <v>47.686256</v>
      </c>
      <c r="BV19" s="26">
        <v>35.206260280000002</v>
      </c>
      <c r="BW19" s="26" t="s">
        <v>168</v>
      </c>
      <c r="BX19" s="26">
        <v>39</v>
      </c>
      <c r="BY19" s="26">
        <v>68.97</v>
      </c>
      <c r="BZ19" s="26">
        <v>-21.97</v>
      </c>
      <c r="CA19" s="26">
        <v>47</v>
      </c>
      <c r="CB19">
        <f>IF(AZ19&lt;&gt;"NA",(10000/AZ19)*(125/365),(10000/BA19)*(125/365))</f>
        <v>4.0769732550554467</v>
      </c>
      <c r="CC19">
        <f>IF(BA19&lt;&gt;"NA",(10000/BA19)*(125/365),(10000/AZ19)*(125/365))</f>
        <v>5.0962165688193082</v>
      </c>
      <c r="CD19">
        <f>AE19/AVERAGE(AZ19,BA19)</f>
        <v>4.409171075837743E-2</v>
      </c>
      <c r="CE19">
        <f>1.911*IF(AX19&lt;&gt;"NA", AVERAGE(AX19,AY19), AVERAGE(AZ19,BA19))</f>
        <v>1031.94</v>
      </c>
      <c r="CF19">
        <v>20</v>
      </c>
      <c r="CG19" s="27">
        <f>(CF19/N19)/IF(AX19&lt;&gt;"NA", AX19,AY19)</f>
        <v>4.4444444444444446E-2</v>
      </c>
      <c r="CH19">
        <f>CF19/N19</f>
        <v>26.666666666666668</v>
      </c>
    </row>
    <row r="20" spans="1:86" ht="15.6" x14ac:dyDescent="0.3">
      <c r="A20">
        <v>19</v>
      </c>
      <c r="B20" s="20" t="s">
        <v>226</v>
      </c>
      <c r="C20" t="s">
        <v>134</v>
      </c>
      <c r="D20" s="22">
        <v>-6.7802449999999999</v>
      </c>
      <c r="E20" s="22">
        <v>24.200140000000001</v>
      </c>
      <c r="F20" s="25">
        <v>660</v>
      </c>
      <c r="G20" t="s">
        <v>88</v>
      </c>
      <c r="H20" t="s">
        <v>135</v>
      </c>
      <c r="I20">
        <v>48</v>
      </c>
      <c r="J20" t="s">
        <v>115</v>
      </c>
      <c r="K20" t="s">
        <v>223</v>
      </c>
      <c r="L20" t="s">
        <v>227</v>
      </c>
      <c r="M20">
        <f>250*100/10000</f>
        <v>2.5</v>
      </c>
      <c r="N20">
        <f>50*75/10000</f>
        <v>0.375</v>
      </c>
      <c r="O20" t="s">
        <v>223</v>
      </c>
      <c r="P20" t="s">
        <v>228</v>
      </c>
      <c r="Q20">
        <v>60</v>
      </c>
      <c r="R20" s="19">
        <v>44814</v>
      </c>
      <c r="S20" s="19">
        <v>44941</v>
      </c>
      <c r="T20" t="s">
        <v>229</v>
      </c>
      <c r="U20" t="s">
        <v>180</v>
      </c>
      <c r="V20" t="s">
        <v>95</v>
      </c>
      <c r="W20">
        <v>10</v>
      </c>
      <c r="X20" t="s">
        <v>100</v>
      </c>
      <c r="Y20" t="s">
        <v>97</v>
      </c>
      <c r="Z20">
        <v>2</v>
      </c>
      <c r="AA20" t="s">
        <v>98</v>
      </c>
      <c r="AB20" t="s">
        <v>151</v>
      </c>
      <c r="AC20" t="s">
        <v>100</v>
      </c>
      <c r="AD20">
        <v>12</v>
      </c>
      <c r="AE20" s="24">
        <f t="shared" si="0"/>
        <v>53.333333333333329</v>
      </c>
      <c r="AF20" t="s">
        <v>100</v>
      </c>
      <c r="AG20" t="s">
        <v>101</v>
      </c>
      <c r="AH20" t="s">
        <v>119</v>
      </c>
      <c r="AI20" t="s">
        <v>103</v>
      </c>
      <c r="AJ20" t="s">
        <v>103</v>
      </c>
      <c r="AK20" t="s">
        <v>103</v>
      </c>
      <c r="AL20" t="s">
        <v>103</v>
      </c>
      <c r="AM20" t="s">
        <v>103</v>
      </c>
      <c r="AN20" t="s">
        <v>103</v>
      </c>
      <c r="AO20" t="s">
        <v>103</v>
      </c>
      <c r="AP20" t="s">
        <v>210</v>
      </c>
      <c r="AQ20" t="s">
        <v>161</v>
      </c>
      <c r="AR20">
        <v>0</v>
      </c>
      <c r="AS20" t="s">
        <v>100</v>
      </c>
      <c r="AT20">
        <v>0</v>
      </c>
      <c r="AU20" t="s">
        <v>95</v>
      </c>
      <c r="AV20" t="s">
        <v>105</v>
      </c>
      <c r="AW20" t="s">
        <v>131</v>
      </c>
      <c r="AX20" t="s">
        <v>90</v>
      </c>
      <c r="AY20">
        <f>(34*4/$N20)</f>
        <v>362.66666666666669</v>
      </c>
      <c r="AZ20" t="s">
        <v>90</v>
      </c>
      <c r="BA20">
        <f>AY20+AY20*((100-Q20)/100)</f>
        <v>507.73333333333335</v>
      </c>
      <c r="BB20" t="s">
        <v>90</v>
      </c>
      <c r="BC20" t="s">
        <v>90</v>
      </c>
      <c r="BD20">
        <f>80*4/$N20</f>
        <v>853.33333333333337</v>
      </c>
      <c r="BE20">
        <f>BD20+(BD20*Q20)/(100-Q20)</f>
        <v>2133.3333333333335</v>
      </c>
      <c r="BF20">
        <f>AY20/BA20+BD20/BE20</f>
        <v>1.1142857142857143</v>
      </c>
      <c r="BG20">
        <f>5000/4</f>
        <v>1250</v>
      </c>
      <c r="BH20">
        <f>3500/4</f>
        <v>875</v>
      </c>
      <c r="BI20" t="s">
        <v>90</v>
      </c>
      <c r="BJ20" t="s">
        <v>230</v>
      </c>
      <c r="BK20" t="s">
        <v>108</v>
      </c>
      <c r="BL20">
        <v>13</v>
      </c>
      <c r="BM20" t="s">
        <v>109</v>
      </c>
      <c r="BN20" t="s">
        <v>110</v>
      </c>
      <c r="BO20">
        <v>0</v>
      </c>
      <c r="BP20" t="s">
        <v>132</v>
      </c>
      <c r="BQ20" t="str">
        <f>IF(AND(BP20="Not member",G20="KasaiLomami"),"VC3", "VC1 or VC2")</f>
        <v>VC3</v>
      </c>
      <c r="BR20">
        <v>5.65582501950552</v>
      </c>
      <c r="BS20" s="24">
        <v>0.16277709465175699</v>
      </c>
      <c r="BT20" s="26"/>
      <c r="BU20" s="26"/>
      <c r="BV20" s="26"/>
      <c r="BW20" s="26"/>
      <c r="BX20" s="26">
        <v>47</v>
      </c>
      <c r="BY20" s="26">
        <v>58.409342879784305</v>
      </c>
      <c r="BZ20" s="26">
        <v>-11.409342879784305</v>
      </c>
      <c r="CA20" s="26">
        <v>47</v>
      </c>
      <c r="CB20">
        <f>IF(AZ20&lt;&gt;"NA",(10000/AZ20)*(125/365),(10000/BA20)*(125/365))</f>
        <v>6.7449925175549659</v>
      </c>
      <c r="CC20">
        <f>IF(BA20&lt;&gt;"NA",(10000/BA20)*(125/365),(10000/AZ20)*(125/365))</f>
        <v>6.7449925175549659</v>
      </c>
      <c r="CD20">
        <f>AE20/AVERAGE(AZ20,BA20)</f>
        <v>0.10504201680672268</v>
      </c>
      <c r="CE20">
        <f>1.911*IF(AX20&lt;&gt;"NA", AVERAGE(AX20,AY20), AVERAGE(AZ20,BA20))</f>
        <v>970.27840000000003</v>
      </c>
      <c r="CF20">
        <v>0</v>
      </c>
      <c r="CG20" s="27">
        <f>(CF20/N20)/IF(AX20&lt;&gt;"NA", AX20,AY20)</f>
        <v>0</v>
      </c>
      <c r="CH20">
        <f>CF20/N20</f>
        <v>0</v>
      </c>
    </row>
    <row r="21" spans="1:86" ht="15.6" x14ac:dyDescent="0.3">
      <c r="A21">
        <v>20</v>
      </c>
      <c r="B21" s="20" t="s">
        <v>231</v>
      </c>
      <c r="C21" t="s">
        <v>134</v>
      </c>
      <c r="D21" s="22">
        <v>-6.8059722200000001</v>
      </c>
      <c r="E21" s="22">
        <v>24.172611109999998</v>
      </c>
      <c r="F21">
        <v>602</v>
      </c>
      <c r="G21" t="s">
        <v>88</v>
      </c>
      <c r="H21" t="s">
        <v>135</v>
      </c>
      <c r="I21">
        <v>45</v>
      </c>
      <c r="J21" t="s">
        <v>115</v>
      </c>
      <c r="K21" t="s">
        <v>232</v>
      </c>
      <c r="L21" t="s">
        <v>233</v>
      </c>
      <c r="M21">
        <f>100*150/10000</f>
        <v>1.5</v>
      </c>
      <c r="N21">
        <f>50*50/10000</f>
        <v>0.25</v>
      </c>
      <c r="O21" t="s">
        <v>234</v>
      </c>
      <c r="P21" t="s">
        <v>235</v>
      </c>
      <c r="Q21">
        <v>30</v>
      </c>
      <c r="R21" s="19">
        <v>44809</v>
      </c>
      <c r="S21" s="19">
        <v>44948</v>
      </c>
      <c r="T21" t="s">
        <v>182</v>
      </c>
      <c r="U21" t="s">
        <v>236</v>
      </c>
      <c r="V21" t="s">
        <v>95</v>
      </c>
      <c r="W21">
        <v>10</v>
      </c>
      <c r="X21" t="s">
        <v>100</v>
      </c>
      <c r="Y21" t="s">
        <v>101</v>
      </c>
      <c r="Z21">
        <v>2</v>
      </c>
      <c r="AA21" t="s">
        <v>98</v>
      </c>
      <c r="AB21" t="s">
        <v>142</v>
      </c>
      <c r="AC21" t="s">
        <v>100</v>
      </c>
      <c r="AD21">
        <v>3</v>
      </c>
      <c r="AE21" s="24">
        <f t="shared" si="0"/>
        <v>40</v>
      </c>
      <c r="AF21" t="s">
        <v>100</v>
      </c>
      <c r="AG21" t="s">
        <v>101</v>
      </c>
      <c r="AH21" t="s">
        <v>237</v>
      </c>
      <c r="AI21" t="s">
        <v>103</v>
      </c>
      <c r="AJ21" t="s">
        <v>103</v>
      </c>
      <c r="AK21" t="s">
        <v>103</v>
      </c>
      <c r="AL21" t="s">
        <v>103</v>
      </c>
      <c r="AM21" t="s">
        <v>103</v>
      </c>
      <c r="AN21" t="s">
        <v>103</v>
      </c>
      <c r="AO21" t="s">
        <v>103</v>
      </c>
      <c r="AP21" t="s">
        <v>238</v>
      </c>
      <c r="AQ21" t="s">
        <v>103</v>
      </c>
      <c r="AR21">
        <v>0</v>
      </c>
      <c r="AS21" t="s">
        <v>100</v>
      </c>
      <c r="AT21" t="s">
        <v>103</v>
      </c>
      <c r="AU21" t="s">
        <v>239</v>
      </c>
      <c r="AV21" t="s">
        <v>105</v>
      </c>
      <c r="AW21" t="s">
        <v>206</v>
      </c>
      <c r="AX21">
        <f>(45*4/$N21)</f>
        <v>720</v>
      </c>
      <c r="AY21">
        <f>(30*4/$N21)</f>
        <v>480</v>
      </c>
      <c r="AZ21">
        <f>AX21+AX21*((100-Q21)/100)</f>
        <v>1224</v>
      </c>
      <c r="BA21">
        <f>AY21+AY21*((100-Q21)/100)</f>
        <v>816</v>
      </c>
      <c r="BB21">
        <f>(100*4/$N21)</f>
        <v>1600</v>
      </c>
      <c r="BC21">
        <f>BB21+(BB21*Q21)/(100-Q21)</f>
        <v>2285.7142857142858</v>
      </c>
      <c r="BD21" t="s">
        <v>90</v>
      </c>
      <c r="BE21" t="s">
        <v>90</v>
      </c>
      <c r="BF21">
        <f>AX21/AZ21+BB21/BC21</f>
        <v>1.2882352941176469</v>
      </c>
      <c r="BG21">
        <f>5000/4</f>
        <v>1250</v>
      </c>
      <c r="BH21">
        <f>3500/4</f>
        <v>875</v>
      </c>
      <c r="BI21" t="s">
        <v>90</v>
      </c>
      <c r="BJ21" t="s">
        <v>142</v>
      </c>
      <c r="BK21" t="s">
        <v>240</v>
      </c>
      <c r="BL21">
        <v>14</v>
      </c>
      <c r="BM21" t="s">
        <v>109</v>
      </c>
      <c r="BN21" t="s">
        <v>110</v>
      </c>
      <c r="BO21">
        <v>0</v>
      </c>
      <c r="BP21" t="s">
        <v>132</v>
      </c>
      <c r="BQ21" t="str">
        <f>IF(AND(BP21="Not member",G21="KasaiLomami"),"VC3", "VC1 or VC2")</f>
        <v>VC3</v>
      </c>
      <c r="BR21">
        <v>6.02</v>
      </c>
      <c r="BS21" s="24">
        <v>0.1326</v>
      </c>
      <c r="BT21" s="26">
        <v>21.138812953944001</v>
      </c>
      <c r="BU21" s="26">
        <v>40.751449000000001</v>
      </c>
      <c r="BV21" s="26">
        <v>38.1097532</v>
      </c>
      <c r="BW21" s="26" t="s">
        <v>168</v>
      </c>
      <c r="BX21" s="26">
        <v>39</v>
      </c>
      <c r="BY21" s="26">
        <v>68.190000000000012</v>
      </c>
      <c r="BZ21" s="26">
        <v>-21.190000000000012</v>
      </c>
      <c r="CA21" s="26">
        <v>47</v>
      </c>
      <c r="CB21">
        <f>IF(AZ21&lt;&gt;"NA",(10000/AZ21)*(125/365),(10000/BA21)*(125/365))</f>
        <v>2.7979228220968748</v>
      </c>
      <c r="CC21">
        <f>IF(BA21&lt;&gt;"NA",(10000/BA21)*(125/365),(10000/AZ21)*(125/365))</f>
        <v>4.1968842331453127</v>
      </c>
      <c r="CD21">
        <f>AE21/AVERAGE(AZ21,BA21)</f>
        <v>3.9215686274509803E-2</v>
      </c>
      <c r="CE21">
        <f>1.911*IF(AX21&lt;&gt;"NA", AVERAGE(AX21,AY21), AVERAGE(AZ21,BA21))</f>
        <v>1146.5999999999999</v>
      </c>
      <c r="CF21">
        <v>20</v>
      </c>
      <c r="CG21" s="27">
        <f>(CF21/N21)/IF(AX21&lt;&gt;"NA", AX21,AY21)</f>
        <v>0.1111111111111111</v>
      </c>
      <c r="CH21">
        <f>CF21/N21</f>
        <v>80</v>
      </c>
    </row>
    <row r="22" spans="1:86" ht="15.6" x14ac:dyDescent="0.3">
      <c r="A22">
        <v>21</v>
      </c>
      <c r="B22" s="20" t="s">
        <v>241</v>
      </c>
      <c r="C22" t="s">
        <v>134</v>
      </c>
      <c r="D22" s="22">
        <v>-6.8044722200000001</v>
      </c>
      <c r="E22" s="22">
        <v>24.174861109999998</v>
      </c>
      <c r="F22">
        <v>602</v>
      </c>
      <c r="G22" t="s">
        <v>88</v>
      </c>
      <c r="H22" t="s">
        <v>135</v>
      </c>
      <c r="I22">
        <v>55</v>
      </c>
      <c r="J22" t="s">
        <v>115</v>
      </c>
      <c r="K22" t="s">
        <v>242</v>
      </c>
      <c r="L22" t="s">
        <v>138</v>
      </c>
      <c r="M22">
        <f>13192/10000</f>
        <v>1.3191999999999999</v>
      </c>
      <c r="N22">
        <f>25*50/10000</f>
        <v>0.125</v>
      </c>
      <c r="O22" t="s">
        <v>138</v>
      </c>
      <c r="P22" t="s">
        <v>93</v>
      </c>
      <c r="Q22">
        <v>70</v>
      </c>
      <c r="R22" s="19">
        <v>44809</v>
      </c>
      <c r="S22" s="19">
        <v>44931</v>
      </c>
      <c r="T22" t="s">
        <v>116</v>
      </c>
      <c r="U22" t="s">
        <v>180</v>
      </c>
      <c r="V22" t="s">
        <v>95</v>
      </c>
      <c r="W22">
        <v>10</v>
      </c>
      <c r="X22" t="s">
        <v>100</v>
      </c>
      <c r="Y22" t="s">
        <v>101</v>
      </c>
      <c r="Z22">
        <v>2</v>
      </c>
      <c r="AA22" t="s">
        <v>98</v>
      </c>
      <c r="AB22" t="s">
        <v>142</v>
      </c>
      <c r="AC22" t="s">
        <v>100</v>
      </c>
      <c r="AD22">
        <v>6.5</v>
      </c>
      <c r="AE22" s="24">
        <f t="shared" si="0"/>
        <v>74.285714285714292</v>
      </c>
      <c r="AF22" t="s">
        <v>100</v>
      </c>
      <c r="AG22" t="s">
        <v>101</v>
      </c>
      <c r="AH22" t="s">
        <v>243</v>
      </c>
      <c r="AI22" t="s">
        <v>103</v>
      </c>
      <c r="AJ22" t="s">
        <v>103</v>
      </c>
      <c r="AK22" t="s">
        <v>103</v>
      </c>
      <c r="AL22" t="s">
        <v>103</v>
      </c>
      <c r="AM22" t="s">
        <v>103</v>
      </c>
      <c r="AN22" t="s">
        <v>103</v>
      </c>
      <c r="AO22" t="s">
        <v>103</v>
      </c>
      <c r="AP22" t="s">
        <v>244</v>
      </c>
      <c r="AQ22" s="25" t="s">
        <v>90</v>
      </c>
      <c r="AR22">
        <v>0</v>
      </c>
      <c r="AS22" t="s">
        <v>100</v>
      </c>
      <c r="AT22" s="25" t="s">
        <v>90</v>
      </c>
      <c r="AU22" t="s">
        <v>245</v>
      </c>
      <c r="AV22" t="s">
        <v>105</v>
      </c>
      <c r="AW22" t="s">
        <v>125</v>
      </c>
      <c r="AX22">
        <f>(40*4/$N22)</f>
        <v>1280</v>
      </c>
      <c r="AY22">
        <f>(17*4/$N22)</f>
        <v>544</v>
      </c>
      <c r="AZ22">
        <f>AX22+AX22*((100-Q22)/100)</f>
        <v>1664</v>
      </c>
      <c r="BA22">
        <f>AY22+AY22*((100-Q22)/100)</f>
        <v>707.2</v>
      </c>
      <c r="BB22" t="s">
        <v>90</v>
      </c>
      <c r="BC22" t="s">
        <v>90</v>
      </c>
      <c r="BD22">
        <f>20*4/$N22</f>
        <v>640</v>
      </c>
      <c r="BE22">
        <f>BD22+(BD22*Q22)/(100-Q22)</f>
        <v>2133.333333333333</v>
      </c>
      <c r="BF22">
        <f>AX22/AZ22+BD22/BE22</f>
        <v>1.0692307692307694</v>
      </c>
      <c r="BG22">
        <f>5500/4</f>
        <v>1375</v>
      </c>
      <c r="BH22">
        <f>3500/4</f>
        <v>875</v>
      </c>
      <c r="BI22" t="s">
        <v>90</v>
      </c>
      <c r="BJ22" t="s">
        <v>187</v>
      </c>
      <c r="BK22" t="s">
        <v>101</v>
      </c>
      <c r="BL22">
        <v>14</v>
      </c>
      <c r="BM22" t="s">
        <v>109</v>
      </c>
      <c r="BN22" t="s">
        <v>110</v>
      </c>
      <c r="BO22">
        <v>0</v>
      </c>
      <c r="BP22" t="s">
        <v>132</v>
      </c>
      <c r="BQ22" t="str">
        <f>IF(AND(BP22="Not member",G22="KasaiLomami"),"VC3", "VC1 or VC2")</f>
        <v>VC3</v>
      </c>
      <c r="BR22">
        <v>6.34</v>
      </c>
      <c r="BS22" s="24">
        <v>0.13730000000000001</v>
      </c>
      <c r="BT22" s="26">
        <v>18.813967487999999</v>
      </c>
      <c r="BU22" s="26">
        <v>43.061166999999998</v>
      </c>
      <c r="BV22" s="26">
        <v>38.124843509999998</v>
      </c>
      <c r="BW22" s="26" t="s">
        <v>168</v>
      </c>
      <c r="BX22" s="26">
        <v>39</v>
      </c>
      <c r="BY22" s="26">
        <v>77.16</v>
      </c>
      <c r="BZ22" s="26">
        <v>-30.159999999999997</v>
      </c>
      <c r="CA22" s="26">
        <v>47</v>
      </c>
      <c r="CB22">
        <f>IF(AZ22&lt;&gt;"NA",(10000/AZ22)*(125/365),(10000/BA22)*(125/365))</f>
        <v>2.0580874604847206</v>
      </c>
      <c r="CC22">
        <f>IF(BA22&lt;&gt;"NA",(10000/BA22)*(125/365),(10000/AZ22)*(125/365))</f>
        <v>4.8425587305522839</v>
      </c>
      <c r="CD22">
        <f>AE22/AVERAGE(AZ22,BA22)</f>
        <v>6.2656641604010035E-2</v>
      </c>
      <c r="CE22">
        <f>1.911*IF(AX22&lt;&gt;"NA", AVERAGE(AX22,AY22), AVERAGE(AZ22,BA22))</f>
        <v>1742.8320000000001</v>
      </c>
      <c r="CF22">
        <v>20</v>
      </c>
      <c r="CG22" s="27">
        <f>(CF22/N22)/IF(AX22&lt;&gt;"NA", AX22,AY22)</f>
        <v>0.125</v>
      </c>
      <c r="CH22">
        <f>CF22/N22</f>
        <v>160</v>
      </c>
    </row>
    <row r="23" spans="1:86" ht="15.6" x14ac:dyDescent="0.3">
      <c r="A23">
        <v>22</v>
      </c>
      <c r="B23" s="20" t="s">
        <v>246</v>
      </c>
      <c r="C23" t="s">
        <v>134</v>
      </c>
      <c r="D23" s="22">
        <v>-6.7742199999999997</v>
      </c>
      <c r="E23" s="22">
        <v>24.162024200000001</v>
      </c>
      <c r="F23" s="25">
        <v>624</v>
      </c>
      <c r="G23" t="s">
        <v>88</v>
      </c>
      <c r="H23" t="s">
        <v>135</v>
      </c>
      <c r="I23">
        <v>44</v>
      </c>
      <c r="J23" t="s">
        <v>115</v>
      </c>
      <c r="K23" t="s">
        <v>247</v>
      </c>
      <c r="L23" t="s">
        <v>248</v>
      </c>
      <c r="M23">
        <f>50*50/10000</f>
        <v>0.25</v>
      </c>
      <c r="N23">
        <f>50*50/10000</f>
        <v>0.25</v>
      </c>
      <c r="O23" t="s">
        <v>249</v>
      </c>
      <c r="P23" t="s">
        <v>250</v>
      </c>
      <c r="Q23">
        <v>100</v>
      </c>
      <c r="R23" s="19">
        <v>44813</v>
      </c>
      <c r="S23" s="19">
        <v>44962</v>
      </c>
      <c r="T23" t="s">
        <v>251</v>
      </c>
      <c r="U23" t="s">
        <v>183</v>
      </c>
      <c r="V23" t="s">
        <v>95</v>
      </c>
      <c r="W23">
        <v>10</v>
      </c>
      <c r="X23" t="s">
        <v>100</v>
      </c>
      <c r="Y23" t="s">
        <v>101</v>
      </c>
      <c r="Z23">
        <v>2</v>
      </c>
      <c r="AA23" t="s">
        <v>98</v>
      </c>
      <c r="AB23" t="s">
        <v>142</v>
      </c>
      <c r="AC23" t="s">
        <v>100</v>
      </c>
      <c r="AD23">
        <v>15</v>
      </c>
      <c r="AE23" s="24">
        <f t="shared" si="0"/>
        <v>60</v>
      </c>
      <c r="AF23" t="s">
        <v>100</v>
      </c>
      <c r="AG23" t="s">
        <v>101</v>
      </c>
      <c r="AH23" t="s">
        <v>175</v>
      </c>
      <c r="AI23" t="s">
        <v>103</v>
      </c>
      <c r="AJ23" t="s">
        <v>103</v>
      </c>
      <c r="AK23" t="s">
        <v>103</v>
      </c>
      <c r="AL23" t="s">
        <v>103</v>
      </c>
      <c r="AM23" t="s">
        <v>103</v>
      </c>
      <c r="AN23" t="s">
        <v>103</v>
      </c>
      <c r="AO23" t="s">
        <v>103</v>
      </c>
      <c r="AP23" s="25" t="s">
        <v>90</v>
      </c>
      <c r="AQ23" t="s">
        <v>252</v>
      </c>
      <c r="AR23">
        <v>0</v>
      </c>
      <c r="AS23" t="s">
        <v>100</v>
      </c>
      <c r="AT23" t="s">
        <v>103</v>
      </c>
      <c r="AU23" t="s">
        <v>95</v>
      </c>
      <c r="AV23" t="s">
        <v>185</v>
      </c>
      <c r="AW23" t="s">
        <v>125</v>
      </c>
      <c r="AX23">
        <f>(40*4/$N23)</f>
        <v>640</v>
      </c>
      <c r="AY23">
        <f>(18*4/$N23)</f>
        <v>288</v>
      </c>
      <c r="AZ23">
        <f>AX23+AX23*((100-Q23)/100)</f>
        <v>640</v>
      </c>
      <c r="BA23">
        <f>AY23+AY23*((100-Q23)/100)</f>
        <v>288</v>
      </c>
      <c r="BB23" t="s">
        <v>90</v>
      </c>
      <c r="BC23" t="s">
        <v>90</v>
      </c>
      <c r="BD23" t="s">
        <v>90</v>
      </c>
      <c r="BE23" t="s">
        <v>90</v>
      </c>
      <c r="BF23">
        <v>1</v>
      </c>
      <c r="BG23">
        <f>5500/4</f>
        <v>1375</v>
      </c>
      <c r="BH23">
        <f>3500/4</f>
        <v>875</v>
      </c>
      <c r="BI23" t="s">
        <v>90</v>
      </c>
      <c r="BJ23" t="s">
        <v>187</v>
      </c>
      <c r="BK23" t="s">
        <v>101</v>
      </c>
      <c r="BL23">
        <v>13</v>
      </c>
      <c r="BM23" t="s">
        <v>109</v>
      </c>
      <c r="BN23" t="s">
        <v>110</v>
      </c>
      <c r="BO23">
        <v>0</v>
      </c>
      <c r="BP23" t="s">
        <v>132</v>
      </c>
      <c r="BQ23" t="str">
        <f>IF(AND(BP23="Not member",G23="KasaiLomami"),"VC3", "VC1 or VC2")</f>
        <v>VC3</v>
      </c>
      <c r="BR23">
        <v>5.6688293679791597</v>
      </c>
      <c r="BS23" s="24">
        <v>0.162910010784443</v>
      </c>
      <c r="BT23" s="26"/>
      <c r="BU23" s="26"/>
      <c r="BV23" s="26"/>
      <c r="BW23" s="26"/>
      <c r="BX23" s="26">
        <v>47</v>
      </c>
      <c r="BY23" s="26">
        <v>58.3894871257326</v>
      </c>
      <c r="BZ23" s="26">
        <v>-11.3894871257326</v>
      </c>
      <c r="CA23" s="26">
        <v>47</v>
      </c>
      <c r="CB23">
        <f>IF(AZ23&lt;&gt;"NA",(10000/AZ23)*(125/365),(10000/BA23)*(125/365))</f>
        <v>5.3510273972602738</v>
      </c>
      <c r="CC23">
        <f>IF(BA23&lt;&gt;"NA",(10000/BA23)*(125/365),(10000/AZ23)*(125/365))</f>
        <v>11.891171993911719</v>
      </c>
      <c r="CD23">
        <f>AE23/AVERAGE(AZ23,BA23)</f>
        <v>0.12931034482758622</v>
      </c>
      <c r="CE23">
        <f>1.911*IF(AX23&lt;&gt;"NA", AVERAGE(AX23,AY23), AVERAGE(AZ23,BA23))</f>
        <v>886.70400000000006</v>
      </c>
      <c r="CF23">
        <v>0</v>
      </c>
      <c r="CG23" s="27">
        <f>(CF23/N23)/IF(AX23&lt;&gt;"NA", AX23,AY23)</f>
        <v>0</v>
      </c>
      <c r="CH23">
        <f>CF23/N23</f>
        <v>0</v>
      </c>
    </row>
    <row r="24" spans="1:86" ht="15.6" x14ac:dyDescent="0.3">
      <c r="A24">
        <v>23</v>
      </c>
      <c r="B24" s="20" t="s">
        <v>253</v>
      </c>
      <c r="C24" t="s">
        <v>134</v>
      </c>
      <c r="D24" s="22">
        <v>-6.7216610000000001</v>
      </c>
      <c r="E24" s="22">
        <v>24.147516</v>
      </c>
      <c r="F24" s="25">
        <v>620</v>
      </c>
      <c r="G24" t="s">
        <v>88</v>
      </c>
      <c r="H24" t="s">
        <v>135</v>
      </c>
      <c r="I24">
        <v>36</v>
      </c>
      <c r="J24" t="s">
        <v>115</v>
      </c>
      <c r="K24" t="s">
        <v>138</v>
      </c>
      <c r="L24" t="s">
        <v>138</v>
      </c>
      <c r="M24">
        <f>50*100/10000</f>
        <v>0.5</v>
      </c>
      <c r="N24">
        <f>25*37/10000</f>
        <v>9.2499999999999999E-2</v>
      </c>
      <c r="O24" t="s">
        <v>138</v>
      </c>
      <c r="P24" t="s">
        <v>93</v>
      </c>
      <c r="Q24">
        <v>60</v>
      </c>
      <c r="R24" s="19">
        <v>44809</v>
      </c>
      <c r="S24" s="19">
        <v>44943</v>
      </c>
      <c r="T24" t="s">
        <v>251</v>
      </c>
      <c r="U24" t="s">
        <v>182</v>
      </c>
      <c r="V24" t="s">
        <v>95</v>
      </c>
      <c r="W24">
        <v>15</v>
      </c>
      <c r="X24" t="s">
        <v>254</v>
      </c>
      <c r="Y24" t="s">
        <v>101</v>
      </c>
      <c r="Z24">
        <v>2</v>
      </c>
      <c r="AA24" t="s">
        <v>98</v>
      </c>
      <c r="AB24" t="s">
        <v>151</v>
      </c>
      <c r="AC24" t="s">
        <v>100</v>
      </c>
      <c r="AD24">
        <v>2</v>
      </c>
      <c r="AE24" s="24">
        <f t="shared" si="0"/>
        <v>36.036036036036037</v>
      </c>
      <c r="AF24" t="s">
        <v>100</v>
      </c>
      <c r="AG24" t="s">
        <v>101</v>
      </c>
      <c r="AH24" t="s">
        <v>255</v>
      </c>
      <c r="AI24" s="24" t="s">
        <v>103</v>
      </c>
      <c r="AJ24" t="s">
        <v>103</v>
      </c>
      <c r="AK24" t="s">
        <v>103</v>
      </c>
      <c r="AL24" t="s">
        <v>103</v>
      </c>
      <c r="AM24" t="s">
        <v>103</v>
      </c>
      <c r="AN24" t="s">
        <v>103</v>
      </c>
      <c r="AO24" t="s">
        <v>103</v>
      </c>
      <c r="AP24" s="25" t="s">
        <v>90</v>
      </c>
      <c r="AQ24" t="s">
        <v>191</v>
      </c>
      <c r="AR24">
        <v>0</v>
      </c>
      <c r="AS24" t="s">
        <v>100</v>
      </c>
      <c r="AT24" t="s">
        <v>103</v>
      </c>
      <c r="AU24" t="s">
        <v>95</v>
      </c>
      <c r="AV24" t="s">
        <v>185</v>
      </c>
      <c r="AW24" t="s">
        <v>256</v>
      </c>
      <c r="AX24">
        <f>(10*4/$N24)</f>
        <v>432.43243243243245</v>
      </c>
      <c r="AY24">
        <f>(6.475*4/$N24)</f>
        <v>280</v>
      </c>
      <c r="AZ24">
        <f>AX24+AX24*((100-Q24)/100)</f>
        <v>605.40540540540542</v>
      </c>
      <c r="BA24">
        <f>AY24+AY24*((100-Q24)/100)</f>
        <v>392</v>
      </c>
      <c r="BB24" t="s">
        <v>90</v>
      </c>
      <c r="BC24" t="s">
        <v>90</v>
      </c>
      <c r="BD24">
        <f>10*4/$N24</f>
        <v>432.43243243243245</v>
      </c>
      <c r="BE24">
        <f>BD24+(BD24*Q24)/(100-Q24)</f>
        <v>1081.081081081081</v>
      </c>
      <c r="BF24">
        <f>AX24/AZ24+BD24/BE24</f>
        <v>1.1142857142857143</v>
      </c>
      <c r="BG24">
        <v>1250</v>
      </c>
      <c r="BH24">
        <v>875</v>
      </c>
      <c r="BI24" t="s">
        <v>90</v>
      </c>
      <c r="BJ24" t="s">
        <v>107</v>
      </c>
      <c r="BK24" t="s">
        <v>257</v>
      </c>
      <c r="BL24">
        <v>14</v>
      </c>
      <c r="BM24" t="s">
        <v>258</v>
      </c>
      <c r="BN24" t="s">
        <v>110</v>
      </c>
      <c r="BO24">
        <v>0</v>
      </c>
      <c r="BP24" t="s">
        <v>132</v>
      </c>
      <c r="BQ24" t="str">
        <f>IF(AND(BP24="Not member",G24="KasaiLomami"),"VC3", "VC1 or VC2")</f>
        <v>VC3</v>
      </c>
      <c r="BR24">
        <v>5.6219999999999999</v>
      </c>
      <c r="BS24" s="24">
        <v>0.1646</v>
      </c>
      <c r="BT24" s="26">
        <v>38.339657183340002</v>
      </c>
      <c r="BU24" s="26">
        <v>40.09816</v>
      </c>
      <c r="BV24" s="26">
        <v>21.562201599999998</v>
      </c>
      <c r="BW24" s="26" t="s">
        <v>192</v>
      </c>
      <c r="BX24" s="26">
        <v>47</v>
      </c>
      <c r="BY24" s="26">
        <v>56.903999999999996</v>
      </c>
      <c r="BZ24" s="26">
        <v>-9.9039999999999964</v>
      </c>
      <c r="CA24" s="26">
        <v>47</v>
      </c>
      <c r="CB24">
        <f>IF(AZ24&lt;&gt;"NA",(10000/AZ24)*(125/365),(10000/BA24)*(125/365))</f>
        <v>5.6568003913894316</v>
      </c>
      <c r="CC24">
        <f>IF(BA24&lt;&gt;"NA",(10000/BA24)*(125/365),(10000/AZ24)*(125/365))</f>
        <v>8.736371260833101</v>
      </c>
      <c r="CD24">
        <f>AE24/AVERAGE(AZ24,BA24)</f>
        <v>7.2259556326324165E-2</v>
      </c>
      <c r="CE24">
        <f>1.911*IF(AX24&lt;&gt;"NA", AVERAGE(AX24,AY24), AVERAGE(AZ24,BA24))</f>
        <v>680.72918918918924</v>
      </c>
      <c r="CF24">
        <v>0</v>
      </c>
      <c r="CG24" s="27">
        <f>(CF24/N24)/IF(AX24&lt;&gt;"NA", AX24,AY24)</f>
        <v>0</v>
      </c>
      <c r="CH24">
        <f>CF24/N24</f>
        <v>0</v>
      </c>
    </row>
    <row r="25" spans="1:86" ht="15.6" x14ac:dyDescent="0.3">
      <c r="A25">
        <v>24</v>
      </c>
      <c r="B25" s="20" t="s">
        <v>259</v>
      </c>
      <c r="C25" t="s">
        <v>134</v>
      </c>
      <c r="D25" s="22">
        <v>-6.7192270000000001</v>
      </c>
      <c r="E25" s="22">
        <v>24.153385</v>
      </c>
      <c r="F25" s="25">
        <v>633</v>
      </c>
      <c r="G25" t="s">
        <v>88</v>
      </c>
      <c r="H25" t="s">
        <v>135</v>
      </c>
      <c r="I25">
        <v>40</v>
      </c>
      <c r="J25" t="s">
        <v>115</v>
      </c>
      <c r="K25" t="s">
        <v>116</v>
      </c>
      <c r="L25" t="s">
        <v>116</v>
      </c>
      <c r="M25">
        <f>50*50/10000</f>
        <v>0.25</v>
      </c>
      <c r="N25">
        <f>50*50/10000</f>
        <v>0.25</v>
      </c>
      <c r="O25" t="s">
        <v>172</v>
      </c>
      <c r="P25" t="s">
        <v>93</v>
      </c>
      <c r="Q25">
        <v>60</v>
      </c>
      <c r="R25" s="19">
        <v>44811</v>
      </c>
      <c r="S25" s="19">
        <v>44938</v>
      </c>
      <c r="T25" t="s">
        <v>182</v>
      </c>
      <c r="U25" t="s">
        <v>182</v>
      </c>
      <c r="V25" t="s">
        <v>95</v>
      </c>
      <c r="W25">
        <v>15</v>
      </c>
      <c r="X25" t="s">
        <v>100</v>
      </c>
      <c r="Y25" t="s">
        <v>97</v>
      </c>
      <c r="Z25" s="25">
        <v>2</v>
      </c>
      <c r="AA25" t="s">
        <v>98</v>
      </c>
      <c r="AB25" t="s">
        <v>99</v>
      </c>
      <c r="AC25" t="s">
        <v>100</v>
      </c>
      <c r="AD25">
        <v>6</v>
      </c>
      <c r="AE25" s="24">
        <f t="shared" si="0"/>
        <v>40</v>
      </c>
      <c r="AF25" t="s">
        <v>100</v>
      </c>
      <c r="AG25" t="s">
        <v>101</v>
      </c>
      <c r="AH25" t="s">
        <v>102</v>
      </c>
      <c r="AI25" s="24" t="s">
        <v>103</v>
      </c>
      <c r="AJ25" t="s">
        <v>103</v>
      </c>
      <c r="AK25" t="s">
        <v>103</v>
      </c>
      <c r="AL25" t="s">
        <v>103</v>
      </c>
      <c r="AM25" t="s">
        <v>103</v>
      </c>
      <c r="AN25" t="s">
        <v>103</v>
      </c>
      <c r="AO25" t="s">
        <v>103</v>
      </c>
      <c r="AP25" s="25" t="s">
        <v>90</v>
      </c>
      <c r="AQ25" t="s">
        <v>161</v>
      </c>
      <c r="AR25" t="s">
        <v>260</v>
      </c>
      <c r="AS25" t="s">
        <v>100</v>
      </c>
      <c r="AT25" t="s">
        <v>103</v>
      </c>
      <c r="AU25" t="s">
        <v>95</v>
      </c>
      <c r="AV25" t="s">
        <v>185</v>
      </c>
      <c r="AW25" t="s">
        <v>256</v>
      </c>
      <c r="AX25">
        <f>(80*4/$N25)</f>
        <v>1280</v>
      </c>
      <c r="AY25">
        <f>(30*4/$N25)</f>
        <v>480</v>
      </c>
      <c r="AZ25">
        <f>AX25+AX25*((100-Q25)/100)</f>
        <v>1792</v>
      </c>
      <c r="BA25">
        <f>AY25+AY25*((100-Q25)/100)</f>
        <v>672</v>
      </c>
      <c r="BB25" t="s">
        <v>90</v>
      </c>
      <c r="BC25" t="s">
        <v>90</v>
      </c>
      <c r="BD25">
        <f>32*4/$N25</f>
        <v>512</v>
      </c>
      <c r="BE25">
        <f>BD25+(BD25*Q25)/(100-Q25)</f>
        <v>1280</v>
      </c>
      <c r="BF25">
        <f>AX25/AZ25+BD25/BE25</f>
        <v>1.1142857142857143</v>
      </c>
      <c r="BG25">
        <f>5000/4</f>
        <v>1250</v>
      </c>
      <c r="BH25">
        <f>3500/4</f>
        <v>875</v>
      </c>
      <c r="BI25" t="s">
        <v>90</v>
      </c>
      <c r="BJ25" t="s">
        <v>187</v>
      </c>
      <c r="BK25" t="s">
        <v>188</v>
      </c>
      <c r="BL25">
        <v>13</v>
      </c>
      <c r="BM25" t="s">
        <v>109</v>
      </c>
      <c r="BN25" t="s">
        <v>110</v>
      </c>
      <c r="BO25">
        <v>1</v>
      </c>
      <c r="BP25" t="s">
        <v>145</v>
      </c>
      <c r="BQ25" t="s">
        <v>146</v>
      </c>
      <c r="BR25">
        <v>6.06</v>
      </c>
      <c r="BS25" s="24">
        <v>0.18770000000000001</v>
      </c>
      <c r="BT25" s="26">
        <v>38.339657183340002</v>
      </c>
      <c r="BU25" s="26">
        <v>40.09816</v>
      </c>
      <c r="BV25" s="26">
        <v>21.562201600000002</v>
      </c>
      <c r="BW25" s="26" t="s">
        <v>192</v>
      </c>
      <c r="BX25" s="26">
        <v>47</v>
      </c>
      <c r="BY25" s="26">
        <v>72.959999999999994</v>
      </c>
      <c r="BZ25" s="26">
        <v>-25.959999999999994</v>
      </c>
      <c r="CA25" s="26">
        <v>47</v>
      </c>
      <c r="CB25">
        <f>IF(AZ25&lt;&gt;"NA",(10000/AZ25)*(125/365),(10000/BA25)*(125/365))</f>
        <v>1.9110812133072408</v>
      </c>
      <c r="CC25">
        <f>IF(BA25&lt;&gt;"NA",(10000/BA25)*(125/365),(10000/AZ25)*(125/365))</f>
        <v>5.0962165688193082</v>
      </c>
      <c r="CD25">
        <f>AE25/AVERAGE(AZ25,BA25)</f>
        <v>3.2467532467532464E-2</v>
      </c>
      <c r="CE25">
        <f>1.911*IF(AX25&lt;&gt;"NA", AVERAGE(AX25,AY25), AVERAGE(AZ25,BA25))</f>
        <v>1681.68</v>
      </c>
      <c r="CF25">
        <v>0</v>
      </c>
      <c r="CG25" s="27">
        <f>(CF25/N25)/IF(AX25&lt;&gt;"NA", AX25,AY25)</f>
        <v>0</v>
      </c>
      <c r="CH25">
        <f>CF25/N25</f>
        <v>0</v>
      </c>
    </row>
    <row r="26" spans="1:86" ht="15.6" x14ac:dyDescent="0.3">
      <c r="A26">
        <v>25</v>
      </c>
      <c r="B26" s="20" t="s">
        <v>261</v>
      </c>
      <c r="C26" t="s">
        <v>87</v>
      </c>
      <c r="D26">
        <v>-6.882028</v>
      </c>
      <c r="E26">
        <v>24.180250000000001</v>
      </c>
      <c r="F26">
        <v>707</v>
      </c>
      <c r="G26" t="s">
        <v>88</v>
      </c>
      <c r="H26" t="s">
        <v>135</v>
      </c>
      <c r="I26" t="s">
        <v>90</v>
      </c>
      <c r="J26" t="s">
        <v>115</v>
      </c>
      <c r="K26" t="s">
        <v>262</v>
      </c>
      <c r="L26" t="s">
        <v>263</v>
      </c>
      <c r="M26">
        <f>2.5*10000/10000</f>
        <v>2.5</v>
      </c>
      <c r="N26">
        <f>4000/10000</f>
        <v>0.4</v>
      </c>
      <c r="O26" t="s">
        <v>233</v>
      </c>
      <c r="P26" t="s">
        <v>172</v>
      </c>
      <c r="Q26">
        <v>60</v>
      </c>
      <c r="R26" s="19">
        <v>45182</v>
      </c>
      <c r="S26" t="s">
        <v>90</v>
      </c>
      <c r="T26" t="s">
        <v>264</v>
      </c>
      <c r="U26" t="s">
        <v>183</v>
      </c>
      <c r="V26" t="s">
        <v>95</v>
      </c>
      <c r="W26">
        <v>15</v>
      </c>
      <c r="X26" t="s">
        <v>100</v>
      </c>
      <c r="Y26" t="s">
        <v>184</v>
      </c>
      <c r="Z26">
        <v>1</v>
      </c>
      <c r="AA26" t="s">
        <v>98</v>
      </c>
      <c r="AB26" t="s">
        <v>142</v>
      </c>
      <c r="AC26" t="s">
        <v>100</v>
      </c>
      <c r="AD26">
        <v>3</v>
      </c>
      <c r="AE26" s="24">
        <f t="shared" si="0"/>
        <v>12.5</v>
      </c>
      <c r="AF26" t="s">
        <v>100</v>
      </c>
      <c r="AG26" t="s">
        <v>101</v>
      </c>
      <c r="AH26" t="s">
        <v>175</v>
      </c>
      <c r="AI26" s="24" t="s">
        <v>103</v>
      </c>
      <c r="AJ26" t="s">
        <v>103</v>
      </c>
      <c r="AK26" t="s">
        <v>103</v>
      </c>
      <c r="AL26" t="s">
        <v>103</v>
      </c>
      <c r="AM26" t="s">
        <v>103</v>
      </c>
      <c r="AN26" t="s">
        <v>103</v>
      </c>
      <c r="AO26" t="s">
        <v>103</v>
      </c>
      <c r="AP26" s="25" t="s">
        <v>90</v>
      </c>
      <c r="AQ26" s="25" t="s">
        <v>90</v>
      </c>
      <c r="AR26">
        <v>0</v>
      </c>
      <c r="AS26" t="s">
        <v>100</v>
      </c>
      <c r="AT26" t="s">
        <v>103</v>
      </c>
      <c r="AU26" t="s">
        <v>95</v>
      </c>
      <c r="AV26" t="s">
        <v>185</v>
      </c>
      <c r="AW26" t="s">
        <v>256</v>
      </c>
      <c r="AX26">
        <f>(90/$N26)</f>
        <v>225</v>
      </c>
      <c r="AY26" s="50">
        <f>(90/$N26)</f>
        <v>225</v>
      </c>
      <c r="AZ26">
        <f>AX26+AX26*((100-Q26)/100)</f>
        <v>315</v>
      </c>
      <c r="BA26">
        <f>AY26+AY26*((100-Q26)/100)</f>
        <v>315</v>
      </c>
      <c r="BB26" t="s">
        <v>90</v>
      </c>
      <c r="BC26" t="s">
        <v>90</v>
      </c>
      <c r="BD26">
        <f>40*4/$N26</f>
        <v>400</v>
      </c>
      <c r="BE26">
        <f>BD26+(BD26*Q26)/(100-Q26)</f>
        <v>1000</v>
      </c>
      <c r="BF26">
        <f>AX26/AZ26+BD26/BE26</f>
        <v>1.1142857142857143</v>
      </c>
      <c r="BG26">
        <f t="shared" ref="BG26:BG31" si="1">8000/4</f>
        <v>2000</v>
      </c>
      <c r="BH26">
        <v>1200</v>
      </c>
      <c r="BI26" t="s">
        <v>90</v>
      </c>
      <c r="BJ26" t="s">
        <v>142</v>
      </c>
      <c r="BK26" t="s">
        <v>101</v>
      </c>
      <c r="BL26">
        <v>13</v>
      </c>
      <c r="BM26" t="s">
        <v>258</v>
      </c>
      <c r="BN26" t="s">
        <v>110</v>
      </c>
      <c r="BO26">
        <v>0</v>
      </c>
      <c r="BP26" t="s">
        <v>132</v>
      </c>
      <c r="BQ26" t="str">
        <f>IF(AND(BP26="Not member",G26="KasaiLomami"),"VC3", "VC1 or VC2")</f>
        <v>VC3</v>
      </c>
      <c r="BR26">
        <v>5.2</v>
      </c>
      <c r="BS26" s="24">
        <v>6.0999999999999999E-2</v>
      </c>
      <c r="BT26" s="26">
        <v>14.52434343</v>
      </c>
      <c r="BU26" s="26">
        <v>57.154280999999997</v>
      </c>
      <c r="BV26" s="26">
        <v>28.321388247200002</v>
      </c>
      <c r="BW26" s="26" t="s">
        <v>163</v>
      </c>
      <c r="BX26" s="26">
        <v>39</v>
      </c>
      <c r="BY26" s="26">
        <v>36.299999999999997</v>
      </c>
      <c r="BZ26" s="26">
        <v>10.700000000000003</v>
      </c>
      <c r="CA26" s="26">
        <v>47</v>
      </c>
      <c r="CB26">
        <f>IF(AZ26&lt;&gt;"NA",(10000/AZ26)*(125/365),(10000/BA26)*(125/365))</f>
        <v>10.871928680147859</v>
      </c>
      <c r="CC26">
        <f>IF(BA26&lt;&gt;"NA",(10000/BA26)*(125/365),(10000/AZ26)*(125/365))</f>
        <v>10.871928680147859</v>
      </c>
      <c r="CD26">
        <f>AE26/AVERAGE(AZ26,BA26)</f>
        <v>3.968253968253968E-2</v>
      </c>
      <c r="CE26">
        <f>1.911*IF(AX26&lt;&gt;"NA", AVERAGE(AX26,AY26), AVERAGE(AZ26,BA26))</f>
        <v>429.97500000000002</v>
      </c>
      <c r="CF26">
        <v>0</v>
      </c>
      <c r="CG26" s="27">
        <f>(CF26/N26)/IF(AX26&lt;&gt;"NA", AX26,AY26)</f>
        <v>0</v>
      </c>
      <c r="CH26">
        <f>CF26/N26</f>
        <v>0</v>
      </c>
    </row>
    <row r="27" spans="1:86" ht="15.6" x14ac:dyDescent="0.3">
      <c r="A27">
        <v>26</v>
      </c>
      <c r="B27" s="20" t="s">
        <v>265</v>
      </c>
      <c r="C27" t="s">
        <v>87</v>
      </c>
      <c r="D27">
        <v>-6.8819169999999996</v>
      </c>
      <c r="E27">
        <v>24.193667000000001</v>
      </c>
      <c r="F27">
        <v>716</v>
      </c>
      <c r="G27" t="s">
        <v>88</v>
      </c>
      <c r="H27" t="s">
        <v>135</v>
      </c>
      <c r="I27" t="s">
        <v>90</v>
      </c>
      <c r="J27" t="s">
        <v>115</v>
      </c>
      <c r="K27" t="s">
        <v>266</v>
      </c>
      <c r="L27" t="s">
        <v>182</v>
      </c>
      <c r="M27">
        <f>1.5*10000/10000</f>
        <v>1.5</v>
      </c>
      <c r="N27">
        <f>1000/10000</f>
        <v>0.1</v>
      </c>
      <c r="O27" t="s">
        <v>267</v>
      </c>
      <c r="P27" t="s">
        <v>172</v>
      </c>
      <c r="Q27">
        <v>60</v>
      </c>
      <c r="R27" s="19">
        <v>45212</v>
      </c>
      <c r="S27" s="25" t="s">
        <v>90</v>
      </c>
      <c r="T27" t="s">
        <v>268</v>
      </c>
      <c r="U27" t="s">
        <v>183</v>
      </c>
      <c r="V27" t="s">
        <v>95</v>
      </c>
      <c r="W27">
        <v>15</v>
      </c>
      <c r="X27" t="s">
        <v>100</v>
      </c>
      <c r="Y27" t="s">
        <v>184</v>
      </c>
      <c r="Z27">
        <v>1</v>
      </c>
      <c r="AA27" t="s">
        <v>98</v>
      </c>
      <c r="AB27" t="s">
        <v>142</v>
      </c>
      <c r="AC27" t="s">
        <v>100</v>
      </c>
      <c r="AD27">
        <v>4.5</v>
      </c>
      <c r="AE27" s="24">
        <f t="shared" si="0"/>
        <v>75</v>
      </c>
      <c r="AF27" t="s">
        <v>100</v>
      </c>
      <c r="AG27" t="s">
        <v>101</v>
      </c>
      <c r="AH27" t="s">
        <v>102</v>
      </c>
      <c r="AI27" s="24" t="s">
        <v>103</v>
      </c>
      <c r="AJ27" t="s">
        <v>103</v>
      </c>
      <c r="AK27" t="s">
        <v>103</v>
      </c>
      <c r="AL27" t="s">
        <v>103</v>
      </c>
      <c r="AM27" t="s">
        <v>103</v>
      </c>
      <c r="AN27" t="s">
        <v>103</v>
      </c>
      <c r="AO27" t="s">
        <v>103</v>
      </c>
      <c r="AP27" s="25" t="s">
        <v>90</v>
      </c>
      <c r="AQ27" s="25" t="s">
        <v>90</v>
      </c>
      <c r="AR27">
        <v>0</v>
      </c>
      <c r="AS27" t="s">
        <v>100</v>
      </c>
      <c r="AT27" t="s">
        <v>103</v>
      </c>
      <c r="AU27" t="s">
        <v>95</v>
      </c>
      <c r="AV27" t="s">
        <v>185</v>
      </c>
      <c r="AW27" t="s">
        <v>256</v>
      </c>
      <c r="AX27">
        <f>(21/$N27)</f>
        <v>210</v>
      </c>
      <c r="AY27" s="50">
        <f>(21/$N27)</f>
        <v>210</v>
      </c>
      <c r="AZ27">
        <f>AX27+AX27*((100-Q27)/100)</f>
        <v>294</v>
      </c>
      <c r="BA27">
        <f>AY27+AY27*((100-Q27)/100)</f>
        <v>294</v>
      </c>
      <c r="BB27" t="s">
        <v>90</v>
      </c>
      <c r="BC27" t="s">
        <v>90</v>
      </c>
      <c r="BD27">
        <f>6*4/$N27</f>
        <v>240</v>
      </c>
      <c r="BE27">
        <f>BD27+(BD27*Q27)/(100-Q27)</f>
        <v>600</v>
      </c>
      <c r="BF27">
        <f>AX27/AZ27+BD27/BE27</f>
        <v>1.1142857142857143</v>
      </c>
      <c r="BG27">
        <f t="shared" si="1"/>
        <v>2000</v>
      </c>
      <c r="BH27">
        <v>1200</v>
      </c>
      <c r="BI27" t="s">
        <v>90</v>
      </c>
      <c r="BJ27" t="s">
        <v>142</v>
      </c>
      <c r="BK27" t="s">
        <v>101</v>
      </c>
      <c r="BL27">
        <v>13</v>
      </c>
      <c r="BM27" t="s">
        <v>109</v>
      </c>
      <c r="BN27" t="s">
        <v>110</v>
      </c>
      <c r="BO27">
        <v>0</v>
      </c>
      <c r="BP27" t="s">
        <v>132</v>
      </c>
      <c r="BQ27" t="str">
        <f>IF(AND(BP27="Not member",G27="KasaiLomami"),"VC3", "VC1 or VC2")</f>
        <v>VC3</v>
      </c>
      <c r="BR27">
        <v>5.5</v>
      </c>
      <c r="BS27" s="24">
        <v>8.4699999999999998E-2</v>
      </c>
      <c r="BT27" s="26">
        <v>35.340099500000001</v>
      </c>
      <c r="BU27" s="26">
        <v>43.089905000000002</v>
      </c>
      <c r="BV27" s="26">
        <v>21.570010100000001</v>
      </c>
      <c r="BW27" s="26" t="s">
        <v>192</v>
      </c>
      <c r="BX27" s="26">
        <v>47</v>
      </c>
      <c r="BY27" s="26">
        <v>47.7</v>
      </c>
      <c r="BZ27" s="26">
        <v>-0.70000000000000284</v>
      </c>
      <c r="CA27" s="26">
        <v>47</v>
      </c>
      <c r="CB27">
        <f>IF(AZ27&lt;&gt;"NA",(10000/AZ27)*(125/365),(10000/BA27)*(125/365))</f>
        <v>11.648495014444132</v>
      </c>
      <c r="CC27">
        <f>IF(BA27&lt;&gt;"NA",(10000/BA27)*(125/365),(10000/AZ27)*(125/365))</f>
        <v>11.648495014444132</v>
      </c>
      <c r="CD27">
        <f>AE27/AVERAGE(AZ27,BA27)</f>
        <v>0.25510204081632654</v>
      </c>
      <c r="CE27">
        <f>1.911*IF(AX27&lt;&gt;"NA", AVERAGE(AX27,AY27), AVERAGE(AZ27,BA27))</f>
        <v>401.31</v>
      </c>
      <c r="CF27">
        <v>0</v>
      </c>
      <c r="CG27" s="27">
        <f>(CF27/N27)/IF(AX27&lt;&gt;"NA", AX27,AY27)</f>
        <v>0</v>
      </c>
      <c r="CH27">
        <f>CF27/N27</f>
        <v>0</v>
      </c>
    </row>
    <row r="28" spans="1:86" ht="15.6" x14ac:dyDescent="0.3">
      <c r="A28">
        <v>27</v>
      </c>
      <c r="B28" s="20" t="s">
        <v>269</v>
      </c>
      <c r="C28" t="s">
        <v>87</v>
      </c>
      <c r="D28">
        <v>-6.8884720000000002</v>
      </c>
      <c r="E28">
        <v>24.173193999999999</v>
      </c>
      <c r="F28">
        <v>688</v>
      </c>
      <c r="G28" t="s">
        <v>88</v>
      </c>
      <c r="H28" t="s">
        <v>135</v>
      </c>
      <c r="I28" t="s">
        <v>90</v>
      </c>
      <c r="J28" t="s">
        <v>115</v>
      </c>
      <c r="K28" t="s">
        <v>213</v>
      </c>
      <c r="L28" t="s">
        <v>174</v>
      </c>
      <c r="M28">
        <f>1</f>
        <v>1</v>
      </c>
      <c r="N28">
        <f>3500/10000</f>
        <v>0.35</v>
      </c>
      <c r="O28" t="s">
        <v>248</v>
      </c>
      <c r="P28" t="s">
        <v>172</v>
      </c>
      <c r="Q28">
        <v>60</v>
      </c>
      <c r="R28" s="19">
        <v>45175</v>
      </c>
      <c r="S28" s="25" t="s">
        <v>90</v>
      </c>
      <c r="T28" t="s">
        <v>270</v>
      </c>
      <c r="U28" t="s">
        <v>183</v>
      </c>
      <c r="V28" t="s">
        <v>95</v>
      </c>
      <c r="W28">
        <v>10</v>
      </c>
      <c r="X28" t="s">
        <v>100</v>
      </c>
      <c r="Y28" t="s">
        <v>97</v>
      </c>
      <c r="Z28">
        <v>1</v>
      </c>
      <c r="AA28" t="s">
        <v>98</v>
      </c>
      <c r="AB28" t="s">
        <v>99</v>
      </c>
      <c r="AC28" t="s">
        <v>100</v>
      </c>
      <c r="AD28">
        <v>4.5</v>
      </c>
      <c r="AE28" s="24">
        <f t="shared" si="0"/>
        <v>21.428571428571431</v>
      </c>
      <c r="AF28" t="s">
        <v>100</v>
      </c>
      <c r="AG28" t="s">
        <v>101</v>
      </c>
      <c r="AH28" t="s">
        <v>102</v>
      </c>
      <c r="AI28" s="24" t="s">
        <v>103</v>
      </c>
      <c r="AJ28" t="s">
        <v>103</v>
      </c>
      <c r="AK28" t="s">
        <v>103</v>
      </c>
      <c r="AL28" t="s">
        <v>103</v>
      </c>
      <c r="AM28" t="s">
        <v>103</v>
      </c>
      <c r="AN28" t="s">
        <v>103</v>
      </c>
      <c r="AO28" t="s">
        <v>103</v>
      </c>
      <c r="AP28" s="25" t="s">
        <v>90</v>
      </c>
      <c r="AQ28" s="25" t="s">
        <v>90</v>
      </c>
      <c r="AR28">
        <v>0</v>
      </c>
      <c r="AS28" t="s">
        <v>271</v>
      </c>
      <c r="AT28" t="s">
        <v>103</v>
      </c>
      <c r="AU28" t="s">
        <v>95</v>
      </c>
      <c r="AV28" t="s">
        <v>185</v>
      </c>
      <c r="AW28" t="s">
        <v>256</v>
      </c>
      <c r="AX28">
        <f>(60/$N28)</f>
        <v>171.42857142857144</v>
      </c>
      <c r="AY28" s="50">
        <f>(60/$N28)</f>
        <v>171.42857142857144</v>
      </c>
      <c r="AZ28">
        <f>AX28+AX28*((100-Q28)/100)</f>
        <v>240.00000000000003</v>
      </c>
      <c r="BA28">
        <f>AY28+AY28*((100-Q28)/100)</f>
        <v>240.00000000000003</v>
      </c>
      <c r="BB28">
        <f>(150/$N10)</f>
        <v>600</v>
      </c>
      <c r="BC28">
        <f>BB28+(BB28*Q28)/(100-Q28)</f>
        <v>1500</v>
      </c>
      <c r="BD28">
        <f>35*4/$N28</f>
        <v>400</v>
      </c>
      <c r="BE28">
        <f>BD28+(BD28*Q28)/(100-Q28)</f>
        <v>1000</v>
      </c>
      <c r="BF28">
        <f>AX28/AZ28+BB28/BC28+BD28/BE28</f>
        <v>1.5142857142857142</v>
      </c>
      <c r="BG28">
        <f t="shared" si="1"/>
        <v>2000</v>
      </c>
      <c r="BH28">
        <v>1200</v>
      </c>
      <c r="BI28" t="s">
        <v>90</v>
      </c>
      <c r="BJ28" t="s">
        <v>142</v>
      </c>
      <c r="BK28" t="s">
        <v>101</v>
      </c>
      <c r="BL28">
        <v>13</v>
      </c>
      <c r="BM28" t="s">
        <v>258</v>
      </c>
      <c r="BN28" t="s">
        <v>110</v>
      </c>
      <c r="BO28">
        <v>0</v>
      </c>
      <c r="BP28" t="s">
        <v>132</v>
      </c>
      <c r="BQ28" t="str">
        <f>IF(AND(BP28="Not member",G28="KasaiLomami"),"VC3", "VC1 or VC2")</f>
        <v>VC3</v>
      </c>
      <c r="BR28">
        <v>5.32</v>
      </c>
      <c r="BS28" s="24">
        <v>9.9900000000000003E-2</v>
      </c>
      <c r="BT28" s="26">
        <v>19.52436565</v>
      </c>
      <c r="BU28" s="26">
        <v>56.154280999999997</v>
      </c>
      <c r="BV28" s="26">
        <v>24.321388774999999</v>
      </c>
      <c r="BW28" s="26" t="s">
        <v>163</v>
      </c>
      <c r="BX28" s="26">
        <v>39</v>
      </c>
      <c r="BY28" s="26">
        <v>36.33</v>
      </c>
      <c r="BZ28" s="26">
        <v>10.670000000000002</v>
      </c>
      <c r="CA28" s="26">
        <v>47</v>
      </c>
      <c r="CB28">
        <f>IF(AZ28&lt;&gt;"NA",(10000/AZ28)*(125/365),(10000/BA28)*(125/365))</f>
        <v>14.269406392694062</v>
      </c>
      <c r="CC28">
        <f>IF(BA28&lt;&gt;"NA",(10000/BA28)*(125/365),(10000/AZ28)*(125/365))</f>
        <v>14.269406392694062</v>
      </c>
      <c r="CD28">
        <f>AE28/AVERAGE(AZ28,BA28)</f>
        <v>8.9285714285714288E-2</v>
      </c>
      <c r="CE28">
        <f>1.911*IF(AX28&lt;&gt;"NA", AVERAGE(AX28,AY28), AVERAGE(AZ28,BA28))</f>
        <v>327.60000000000002</v>
      </c>
      <c r="CF28">
        <v>5</v>
      </c>
      <c r="CG28" s="27">
        <f>(CF28/N28)/IF(AX28&lt;&gt;"NA", AX28,AY28)</f>
        <v>8.3333333333333329E-2</v>
      </c>
      <c r="CH28">
        <f>CF28/N28</f>
        <v>14.285714285714286</v>
      </c>
    </row>
    <row r="29" spans="1:86" ht="15.6" x14ac:dyDescent="0.3">
      <c r="A29">
        <v>28</v>
      </c>
      <c r="B29" s="20" t="s">
        <v>272</v>
      </c>
      <c r="C29" t="s">
        <v>87</v>
      </c>
      <c r="D29">
        <v>-6.8887219999999996</v>
      </c>
      <c r="E29">
        <v>24.248556000000001</v>
      </c>
      <c r="F29">
        <v>747</v>
      </c>
      <c r="G29" t="s">
        <v>88</v>
      </c>
      <c r="H29" t="s">
        <v>135</v>
      </c>
      <c r="I29" t="s">
        <v>90</v>
      </c>
      <c r="J29" t="s">
        <v>115</v>
      </c>
      <c r="K29" t="s">
        <v>273</v>
      </c>
      <c r="L29" t="s">
        <v>274</v>
      </c>
      <c r="M29">
        <f>1.5</f>
        <v>1.5</v>
      </c>
      <c r="N29">
        <f>2500/10000</f>
        <v>0.25</v>
      </c>
      <c r="O29" t="s">
        <v>249</v>
      </c>
      <c r="P29" t="s">
        <v>228</v>
      </c>
      <c r="Q29">
        <v>100</v>
      </c>
      <c r="R29" s="19">
        <v>45205</v>
      </c>
      <c r="S29" s="25" t="s">
        <v>90</v>
      </c>
      <c r="T29" t="s">
        <v>270</v>
      </c>
      <c r="U29" t="s">
        <v>183</v>
      </c>
      <c r="V29" t="s">
        <v>95</v>
      </c>
      <c r="W29">
        <v>15</v>
      </c>
      <c r="X29" t="s">
        <v>100</v>
      </c>
      <c r="Y29" t="s">
        <v>97</v>
      </c>
      <c r="Z29">
        <v>1</v>
      </c>
      <c r="AA29" t="s">
        <v>98</v>
      </c>
      <c r="AB29" t="s">
        <v>142</v>
      </c>
      <c r="AC29" t="s">
        <v>100</v>
      </c>
      <c r="AD29">
        <v>6.5</v>
      </c>
      <c r="AE29" s="24">
        <f t="shared" si="0"/>
        <v>26</v>
      </c>
      <c r="AF29" t="s">
        <v>100</v>
      </c>
      <c r="AG29" t="s">
        <v>101</v>
      </c>
      <c r="AH29" t="s">
        <v>237</v>
      </c>
      <c r="AI29" s="24" t="s">
        <v>103</v>
      </c>
      <c r="AJ29" t="s">
        <v>103</v>
      </c>
      <c r="AK29" t="s">
        <v>103</v>
      </c>
      <c r="AL29" t="s">
        <v>103</v>
      </c>
      <c r="AM29" t="s">
        <v>103</v>
      </c>
      <c r="AN29" t="s">
        <v>103</v>
      </c>
      <c r="AO29" t="s">
        <v>103</v>
      </c>
      <c r="AP29" s="25" t="s">
        <v>90</v>
      </c>
      <c r="AQ29" s="25" t="s">
        <v>90</v>
      </c>
      <c r="AR29">
        <v>0</v>
      </c>
      <c r="AS29" t="s">
        <v>100</v>
      </c>
      <c r="AT29" t="s">
        <v>103</v>
      </c>
      <c r="AU29" t="s">
        <v>95</v>
      </c>
      <c r="AV29" t="s">
        <v>185</v>
      </c>
      <c r="AW29" t="s">
        <v>256</v>
      </c>
      <c r="AX29">
        <f>(115/$N29)</f>
        <v>460</v>
      </c>
      <c r="AY29" s="50">
        <f>(115/$N29)</f>
        <v>460</v>
      </c>
      <c r="AZ29">
        <f>AX29+AX29*((100-Q29)/100)</f>
        <v>460</v>
      </c>
      <c r="BA29">
        <f>AY29+AY29*((100-Q29)/100)</f>
        <v>460</v>
      </c>
      <c r="BB29" t="s">
        <v>90</v>
      </c>
      <c r="BC29" t="s">
        <v>90</v>
      </c>
      <c r="BD29" t="s">
        <v>90</v>
      </c>
      <c r="BE29" t="s">
        <v>90</v>
      </c>
      <c r="BF29">
        <v>1</v>
      </c>
      <c r="BG29">
        <f t="shared" si="1"/>
        <v>2000</v>
      </c>
      <c r="BH29">
        <v>1200</v>
      </c>
      <c r="BI29" t="s">
        <v>90</v>
      </c>
      <c r="BJ29" t="s">
        <v>142</v>
      </c>
      <c r="BK29" t="s">
        <v>101</v>
      </c>
      <c r="BL29">
        <v>13</v>
      </c>
      <c r="BM29" t="s">
        <v>109</v>
      </c>
      <c r="BN29" t="s">
        <v>110</v>
      </c>
      <c r="BO29">
        <v>0</v>
      </c>
      <c r="BP29" t="s">
        <v>132</v>
      </c>
      <c r="BQ29" t="str">
        <f>IF(AND(BP29="Not member",G29="KasaiLomami"),"VC3", "VC1 or VC2")</f>
        <v>VC3</v>
      </c>
      <c r="BR29">
        <v>5.12</v>
      </c>
      <c r="BS29" s="24">
        <v>7.5499999999999998E-2</v>
      </c>
      <c r="BT29" s="26">
        <v>17.343475720000001</v>
      </c>
      <c r="BU29" s="26">
        <v>78.086153999999993</v>
      </c>
      <c r="BV29" s="26">
        <v>4.5703632499999998</v>
      </c>
      <c r="BW29" s="26" t="s">
        <v>163</v>
      </c>
      <c r="BX29" s="26">
        <v>39</v>
      </c>
      <c r="BY29" s="26">
        <v>33.630000000000003</v>
      </c>
      <c r="BZ29" s="26">
        <v>13.369999999999997</v>
      </c>
      <c r="CA29" s="26">
        <v>47</v>
      </c>
      <c r="CB29">
        <f>IF(AZ29&lt;&gt;"NA",(10000/AZ29)*(125/365),(10000/BA29)*(125/365))</f>
        <v>7.4449076831447289</v>
      </c>
      <c r="CC29">
        <f>IF(BA29&lt;&gt;"NA",(10000/BA29)*(125/365),(10000/AZ29)*(125/365))</f>
        <v>7.4449076831447289</v>
      </c>
      <c r="CD29">
        <f>AE29/AVERAGE(AZ29,BA29)</f>
        <v>5.6521739130434782E-2</v>
      </c>
      <c r="CE29">
        <f>1.911*IF(AX29&lt;&gt;"NA", AVERAGE(AX29,AY29), AVERAGE(AZ29,BA29))</f>
        <v>879.06000000000006</v>
      </c>
      <c r="CF29">
        <v>0</v>
      </c>
      <c r="CG29" s="27">
        <f>(CF29/N29)/IF(AX29&lt;&gt;"NA", AX29,AY29)</f>
        <v>0</v>
      </c>
      <c r="CH29">
        <f>CF29/N29</f>
        <v>0</v>
      </c>
    </row>
    <row r="30" spans="1:86" ht="15.6" x14ac:dyDescent="0.3">
      <c r="A30">
        <v>29</v>
      </c>
      <c r="B30" s="20" t="s">
        <v>275</v>
      </c>
      <c r="C30" t="s">
        <v>134</v>
      </c>
      <c r="D30">
        <v>-6.9219720000000002</v>
      </c>
      <c r="E30">
        <v>24.240611000000001</v>
      </c>
      <c r="F30">
        <v>676</v>
      </c>
      <c r="G30" t="s">
        <v>88</v>
      </c>
      <c r="H30" t="s">
        <v>135</v>
      </c>
      <c r="I30" t="s">
        <v>90</v>
      </c>
      <c r="J30" t="s">
        <v>115</v>
      </c>
      <c r="K30" t="s">
        <v>213</v>
      </c>
      <c r="L30" t="s">
        <v>174</v>
      </c>
      <c r="M30">
        <f>1.75</f>
        <v>1.75</v>
      </c>
      <c r="N30">
        <f>1250/10000</f>
        <v>0.125</v>
      </c>
      <c r="O30" t="s">
        <v>248</v>
      </c>
      <c r="P30" t="s">
        <v>172</v>
      </c>
      <c r="Q30">
        <v>50</v>
      </c>
      <c r="R30" s="19">
        <v>45202</v>
      </c>
      <c r="S30" s="25" t="s">
        <v>90</v>
      </c>
      <c r="T30" t="s">
        <v>268</v>
      </c>
      <c r="U30" t="s">
        <v>251</v>
      </c>
      <c r="V30" t="s">
        <v>95</v>
      </c>
      <c r="W30">
        <v>15</v>
      </c>
      <c r="X30" t="s">
        <v>100</v>
      </c>
      <c r="Y30" t="s">
        <v>97</v>
      </c>
      <c r="Z30">
        <v>1</v>
      </c>
      <c r="AA30" t="s">
        <v>98</v>
      </c>
      <c r="AB30" t="s">
        <v>99</v>
      </c>
      <c r="AC30" t="s">
        <v>100</v>
      </c>
      <c r="AD30">
        <v>4.5</v>
      </c>
      <c r="AE30" s="24">
        <f t="shared" si="0"/>
        <v>72</v>
      </c>
      <c r="AF30" t="s">
        <v>100</v>
      </c>
      <c r="AG30" t="s">
        <v>101</v>
      </c>
      <c r="AH30" t="s">
        <v>102</v>
      </c>
      <c r="AI30" s="24" t="s">
        <v>103</v>
      </c>
      <c r="AJ30" t="s">
        <v>103</v>
      </c>
      <c r="AK30" t="s">
        <v>103</v>
      </c>
      <c r="AL30" t="s">
        <v>103</v>
      </c>
      <c r="AM30" t="s">
        <v>103</v>
      </c>
      <c r="AN30" t="s">
        <v>103</v>
      </c>
      <c r="AO30" t="s">
        <v>103</v>
      </c>
      <c r="AP30" s="25" t="s">
        <v>90</v>
      </c>
      <c r="AQ30" s="25" t="s">
        <v>90</v>
      </c>
      <c r="AR30">
        <v>0</v>
      </c>
      <c r="AS30" t="s">
        <v>100</v>
      </c>
      <c r="AT30" t="s">
        <v>103</v>
      </c>
      <c r="AU30" t="s">
        <v>95</v>
      </c>
      <c r="AV30" t="s">
        <v>185</v>
      </c>
      <c r="AW30" t="s">
        <v>256</v>
      </c>
      <c r="AX30">
        <f>(96/$N30)</f>
        <v>768</v>
      </c>
      <c r="AY30" s="50">
        <f>(96/$N30)</f>
        <v>768</v>
      </c>
      <c r="AZ30">
        <f>AX30+AX30*((100-Q30)/100)</f>
        <v>1152</v>
      </c>
      <c r="BA30">
        <f>AY30+AY30*((100-Q30)/100)</f>
        <v>1152</v>
      </c>
      <c r="BB30">
        <f>(260/$N12)</f>
        <v>520</v>
      </c>
      <c r="BC30">
        <f>BB30+(BB30*Q30)/(100-Q30)</f>
        <v>1040</v>
      </c>
      <c r="BD30">
        <f>20*4/$N30</f>
        <v>640</v>
      </c>
      <c r="BE30">
        <f>BD30+(BD30*Q30)/(100-Q30)</f>
        <v>1280</v>
      </c>
      <c r="BF30">
        <f>AX30/AZ30+BD30/BE30</f>
        <v>1.1666666666666665</v>
      </c>
      <c r="BG30">
        <f t="shared" si="1"/>
        <v>2000</v>
      </c>
      <c r="BH30">
        <v>1200</v>
      </c>
      <c r="BI30" t="s">
        <v>90</v>
      </c>
      <c r="BJ30" t="s">
        <v>142</v>
      </c>
      <c r="BK30" t="s">
        <v>101</v>
      </c>
      <c r="BL30">
        <v>13</v>
      </c>
      <c r="BM30" t="s">
        <v>258</v>
      </c>
      <c r="BN30" t="s">
        <v>110</v>
      </c>
      <c r="BO30">
        <v>0</v>
      </c>
      <c r="BP30" t="s">
        <v>132</v>
      </c>
      <c r="BQ30" t="str">
        <f>IF(AND(BP30="Not member",G30="KasaiLomami"),"VC3", "VC1 or VC2")</f>
        <v>VC3</v>
      </c>
      <c r="BR30">
        <v>6.31</v>
      </c>
      <c r="BS30" s="24">
        <v>0.33500000000000002</v>
      </c>
      <c r="BT30" s="26">
        <v>38.339657183340002</v>
      </c>
      <c r="BU30" s="26">
        <v>40.09816</v>
      </c>
      <c r="BV30" s="26">
        <v>21.562201600000002</v>
      </c>
      <c r="BW30" s="26" t="s">
        <v>192</v>
      </c>
      <c r="BX30" s="26">
        <v>47</v>
      </c>
      <c r="BY30" s="26">
        <v>63.6</v>
      </c>
      <c r="BZ30" s="26">
        <v>-16.600000000000001</v>
      </c>
      <c r="CA30" s="26">
        <v>47</v>
      </c>
      <c r="CB30">
        <f>IF(AZ30&lt;&gt;"NA",(10000/AZ30)*(125/365),(10000/BA30)*(125/365))</f>
        <v>2.9727929984779298</v>
      </c>
      <c r="CC30">
        <f>IF(BA30&lt;&gt;"NA",(10000/BA30)*(125/365),(10000/AZ30)*(125/365))</f>
        <v>2.9727929984779298</v>
      </c>
      <c r="CD30">
        <f>AE30/AVERAGE(AZ30,BA30)</f>
        <v>6.25E-2</v>
      </c>
      <c r="CE30">
        <f>1.911*IF(AX30&lt;&gt;"NA", AVERAGE(AX30,AY30), AVERAGE(AZ30,BA30))</f>
        <v>1467.6480000000001</v>
      </c>
      <c r="CF30">
        <v>30</v>
      </c>
      <c r="CG30" s="27">
        <f>(CF30/N30)/IF(AX30&lt;&gt;"NA", AX30,AY30)</f>
        <v>0.3125</v>
      </c>
      <c r="CH30">
        <f>CF30/N30</f>
        <v>240</v>
      </c>
    </row>
    <row r="31" spans="1:86" ht="15.6" x14ac:dyDescent="0.3">
      <c r="A31">
        <v>30</v>
      </c>
      <c r="B31" s="20" t="s">
        <v>276</v>
      </c>
      <c r="C31" t="s">
        <v>134</v>
      </c>
      <c r="D31">
        <v>-6.9216939999999996</v>
      </c>
      <c r="E31">
        <v>24.241222</v>
      </c>
      <c r="F31">
        <v>675</v>
      </c>
      <c r="G31" t="s">
        <v>88</v>
      </c>
      <c r="H31" t="s">
        <v>135</v>
      </c>
      <c r="I31" t="s">
        <v>90</v>
      </c>
      <c r="J31" t="s">
        <v>115</v>
      </c>
      <c r="K31" t="s">
        <v>116</v>
      </c>
      <c r="L31" t="s">
        <v>182</v>
      </c>
      <c r="M31">
        <f>2</f>
        <v>2</v>
      </c>
      <c r="N31">
        <f>2000/10000</f>
        <v>0.2</v>
      </c>
      <c r="O31" t="s">
        <v>248</v>
      </c>
      <c r="P31" t="s">
        <v>172</v>
      </c>
      <c r="Q31">
        <v>65</v>
      </c>
      <c r="R31" s="19">
        <v>45218</v>
      </c>
      <c r="S31" s="30" t="s">
        <v>90</v>
      </c>
      <c r="T31" t="s">
        <v>268</v>
      </c>
      <c r="U31" t="s">
        <v>182</v>
      </c>
      <c r="V31" t="s">
        <v>95</v>
      </c>
      <c r="W31">
        <v>15</v>
      </c>
      <c r="X31" t="s">
        <v>100</v>
      </c>
      <c r="Y31" t="s">
        <v>97</v>
      </c>
      <c r="Z31">
        <v>1</v>
      </c>
      <c r="AA31" t="s">
        <v>98</v>
      </c>
      <c r="AB31" t="s">
        <v>142</v>
      </c>
      <c r="AC31" t="s">
        <v>100</v>
      </c>
      <c r="AD31">
        <v>4.5</v>
      </c>
      <c r="AE31" s="24">
        <f t="shared" si="0"/>
        <v>34.615384615384613</v>
      </c>
      <c r="AF31" t="s">
        <v>100</v>
      </c>
      <c r="AG31" t="s">
        <v>101</v>
      </c>
      <c r="AH31" t="s">
        <v>237</v>
      </c>
      <c r="AI31" s="24" t="s">
        <v>103</v>
      </c>
      <c r="AJ31" t="s">
        <v>103</v>
      </c>
      <c r="AK31" t="s">
        <v>103</v>
      </c>
      <c r="AL31" t="s">
        <v>103</v>
      </c>
      <c r="AM31" t="s">
        <v>103</v>
      </c>
      <c r="AN31" t="s">
        <v>103</v>
      </c>
      <c r="AO31" t="s">
        <v>103</v>
      </c>
      <c r="AP31" s="25" t="s">
        <v>90</v>
      </c>
      <c r="AQ31" s="25" t="s">
        <v>90</v>
      </c>
      <c r="AR31">
        <v>0</v>
      </c>
      <c r="AS31" t="s">
        <v>100</v>
      </c>
      <c r="AT31" t="s">
        <v>103</v>
      </c>
      <c r="AU31" t="s">
        <v>95</v>
      </c>
      <c r="AV31" t="s">
        <v>185</v>
      </c>
      <c r="AW31" t="s">
        <v>256</v>
      </c>
      <c r="AX31">
        <f>(100/$N31)</f>
        <v>500</v>
      </c>
      <c r="AY31" s="50">
        <f>(100/$N31)</f>
        <v>500</v>
      </c>
      <c r="AZ31">
        <f>AX31+AX31*((100-Q31)/100)</f>
        <v>675</v>
      </c>
      <c r="BA31">
        <f>AY31+AY31*((100-Q31)/100)</f>
        <v>675</v>
      </c>
      <c r="BB31" t="s">
        <v>90</v>
      </c>
      <c r="BC31" t="s">
        <v>90</v>
      </c>
      <c r="BD31">
        <f>20*4/$N31</f>
        <v>400</v>
      </c>
      <c r="BE31">
        <f>BD31+(BD31*Q31)/(100-Q31)</f>
        <v>1142.8571428571429</v>
      </c>
      <c r="BF31">
        <f>AX31/AZ31+BD31/BE31</f>
        <v>1.0907407407407406</v>
      </c>
      <c r="BG31">
        <f t="shared" si="1"/>
        <v>2000</v>
      </c>
      <c r="BH31">
        <v>1200</v>
      </c>
      <c r="BI31" t="s">
        <v>90</v>
      </c>
      <c r="BJ31" t="s">
        <v>142</v>
      </c>
      <c r="BK31" t="s">
        <v>101</v>
      </c>
      <c r="BL31">
        <v>13</v>
      </c>
      <c r="BM31" t="s">
        <v>109</v>
      </c>
      <c r="BN31" t="s">
        <v>110</v>
      </c>
      <c r="BO31">
        <v>0</v>
      </c>
      <c r="BP31" t="s">
        <v>132</v>
      </c>
      <c r="BQ31" t="str">
        <f>IF(AND(BP31="Not member",G31="KasaiLomami"),"VC3", "VC1 or VC2")</f>
        <v>VC3</v>
      </c>
      <c r="BR31">
        <v>5.65</v>
      </c>
      <c r="BS31" s="24">
        <v>0.1012</v>
      </c>
      <c r="BT31" s="26">
        <v>15.52432488</v>
      </c>
      <c r="BU31" s="26">
        <v>59.154280999999997</v>
      </c>
      <c r="BV31" s="26">
        <v>25.321388247200002</v>
      </c>
      <c r="BW31" s="26" t="s">
        <v>163</v>
      </c>
      <c r="BX31" s="26">
        <v>39</v>
      </c>
      <c r="BY31" s="26">
        <v>42.3</v>
      </c>
      <c r="BZ31" s="26">
        <v>4.7000000000000028</v>
      </c>
      <c r="CA31" s="26">
        <v>47</v>
      </c>
      <c r="CB31">
        <f>IF(AZ31&lt;&gt;"NA",(10000/AZ31)*(125/365),(10000/BA31)*(125/365))</f>
        <v>5.0735667174023336</v>
      </c>
      <c r="CC31">
        <f>IF(BA31&lt;&gt;"NA",(10000/BA31)*(125/365),(10000/AZ31)*(125/365))</f>
        <v>5.0735667174023336</v>
      </c>
      <c r="CD31">
        <f>AE31/AVERAGE(AZ31,BA31)</f>
        <v>5.128205128205128E-2</v>
      </c>
      <c r="CE31">
        <f>1.911*IF(AX31&lt;&gt;"NA", AVERAGE(AX31,AY31), AVERAGE(AZ31,BA31))</f>
        <v>955.5</v>
      </c>
      <c r="CF31">
        <v>10</v>
      </c>
      <c r="CG31" s="27">
        <f>(CF31/N31)/IF(AX31&lt;&gt;"NA", AX31,AY31)</f>
        <v>0.1</v>
      </c>
      <c r="CH31">
        <f>CF31/N31</f>
        <v>50</v>
      </c>
    </row>
    <row r="32" spans="1:86" ht="15.6" x14ac:dyDescent="0.3">
      <c r="A32">
        <v>31</v>
      </c>
      <c r="B32" s="20" t="s">
        <v>277</v>
      </c>
      <c r="C32" t="s">
        <v>134</v>
      </c>
      <c r="D32">
        <v>-6.790667</v>
      </c>
      <c r="E32">
        <v>24.141667000000002</v>
      </c>
      <c r="F32">
        <v>614</v>
      </c>
      <c r="G32" t="s">
        <v>88</v>
      </c>
      <c r="H32" t="s">
        <v>135</v>
      </c>
      <c r="I32" t="s">
        <v>90</v>
      </c>
      <c r="J32" t="s">
        <v>115</v>
      </c>
      <c r="K32" t="s">
        <v>278</v>
      </c>
      <c r="L32" t="s">
        <v>279</v>
      </c>
      <c r="M32">
        <f>1.5</f>
        <v>1.5</v>
      </c>
      <c r="N32">
        <f>1250/10000</f>
        <v>0.125</v>
      </c>
      <c r="O32" t="s">
        <v>248</v>
      </c>
      <c r="P32" t="s">
        <v>280</v>
      </c>
      <c r="Q32">
        <v>60</v>
      </c>
      <c r="R32" s="19">
        <v>45203</v>
      </c>
      <c r="S32" s="25" t="s">
        <v>90</v>
      </c>
      <c r="T32" t="s">
        <v>182</v>
      </c>
      <c r="U32" t="s">
        <v>180</v>
      </c>
      <c r="V32" t="s">
        <v>95</v>
      </c>
      <c r="W32">
        <v>15</v>
      </c>
      <c r="X32" t="s">
        <v>100</v>
      </c>
      <c r="Y32" t="s">
        <v>184</v>
      </c>
      <c r="Z32">
        <v>2</v>
      </c>
      <c r="AA32" t="s">
        <v>98</v>
      </c>
      <c r="AB32" t="s">
        <v>99</v>
      </c>
      <c r="AC32" t="s">
        <v>100</v>
      </c>
      <c r="AD32">
        <v>3</v>
      </c>
      <c r="AE32" s="24">
        <f t="shared" si="0"/>
        <v>40</v>
      </c>
      <c r="AF32" t="s">
        <v>100</v>
      </c>
      <c r="AG32" t="s">
        <v>101</v>
      </c>
      <c r="AH32" t="s">
        <v>102</v>
      </c>
      <c r="AI32" s="24" t="s">
        <v>103</v>
      </c>
      <c r="AJ32" t="s">
        <v>103</v>
      </c>
      <c r="AK32" t="s">
        <v>103</v>
      </c>
      <c r="AL32" t="s">
        <v>103</v>
      </c>
      <c r="AM32" t="s">
        <v>103</v>
      </c>
      <c r="AN32" t="s">
        <v>103</v>
      </c>
      <c r="AO32" t="s">
        <v>103</v>
      </c>
      <c r="AP32" s="25" t="s">
        <v>90</v>
      </c>
      <c r="AQ32" s="25" t="s">
        <v>90</v>
      </c>
      <c r="AR32">
        <v>0</v>
      </c>
      <c r="AS32" t="s">
        <v>100</v>
      </c>
      <c r="AT32" t="s">
        <v>103</v>
      </c>
      <c r="AU32" t="s">
        <v>95</v>
      </c>
      <c r="AV32" t="s">
        <v>185</v>
      </c>
      <c r="AW32" t="s">
        <v>256</v>
      </c>
      <c r="AX32">
        <f>(78/$N32)</f>
        <v>624</v>
      </c>
      <c r="AY32" s="50">
        <f>(78/$N32)</f>
        <v>624</v>
      </c>
      <c r="AZ32">
        <f>AX32+AX32*((100-Q32)/100)</f>
        <v>873.6</v>
      </c>
      <c r="BA32">
        <f>AY32+AY32*((100-Q32)/100)</f>
        <v>873.6</v>
      </c>
      <c r="BB32" t="s">
        <v>90</v>
      </c>
      <c r="BC32" t="s">
        <v>90</v>
      </c>
      <c r="BD32">
        <f>22*4/$N32</f>
        <v>704</v>
      </c>
      <c r="BE32">
        <f>BD32+(BD32*Q32)/(100-Q32)</f>
        <v>1760</v>
      </c>
      <c r="BF32">
        <f>AX32/AZ32+BD32/BE32</f>
        <v>1.1142857142857143</v>
      </c>
      <c r="BG32">
        <f t="shared" ref="BG32:BG42" si="2">10000/4</f>
        <v>2500</v>
      </c>
      <c r="BH32">
        <v>1200</v>
      </c>
      <c r="BI32" t="s">
        <v>90</v>
      </c>
      <c r="BJ32" t="s">
        <v>142</v>
      </c>
      <c r="BK32" t="s">
        <v>101</v>
      </c>
      <c r="BL32">
        <v>13</v>
      </c>
      <c r="BM32" t="s">
        <v>258</v>
      </c>
      <c r="BN32" t="s">
        <v>110</v>
      </c>
      <c r="BO32">
        <v>1</v>
      </c>
      <c r="BP32" t="s">
        <v>145</v>
      </c>
      <c r="BQ32" t="s">
        <v>146</v>
      </c>
      <c r="BR32">
        <v>6.01</v>
      </c>
      <c r="BS32" s="24">
        <v>0.21099999999999999</v>
      </c>
      <c r="BT32" s="26">
        <v>20.885071813469999</v>
      </c>
      <c r="BU32" s="26">
        <v>37.171554999999998</v>
      </c>
      <c r="BV32" s="26">
        <v>41.458634000000004</v>
      </c>
      <c r="BW32" s="26" t="s">
        <v>168</v>
      </c>
      <c r="BX32" s="26">
        <v>39</v>
      </c>
      <c r="BY32" s="26">
        <v>60.24</v>
      </c>
      <c r="BZ32" s="26">
        <v>-13.240000000000002</v>
      </c>
      <c r="CA32" s="26">
        <v>47</v>
      </c>
      <c r="CB32">
        <f>IF(AZ32&lt;&gt;"NA",(10000/AZ32)*(125/365),(10000/BA32)*(125/365))</f>
        <v>3.9201665913994681</v>
      </c>
      <c r="CC32">
        <f>IF(BA32&lt;&gt;"NA",(10000/BA32)*(125/365),(10000/AZ32)*(125/365))</f>
        <v>3.9201665913994681</v>
      </c>
      <c r="CD32">
        <f>AE32/AVERAGE(AZ32,BA32)</f>
        <v>4.5787545787545784E-2</v>
      </c>
      <c r="CE32">
        <f>1.911*IF(AX32&lt;&gt;"NA", AVERAGE(AX32,AY32), AVERAGE(AZ32,BA32))</f>
        <v>1192.4639999999999</v>
      </c>
      <c r="CF32">
        <v>30</v>
      </c>
      <c r="CG32" s="27">
        <f>(CF32/N32)/IF(AX32&lt;&gt;"NA", AX32,AY32)</f>
        <v>0.38461538461538464</v>
      </c>
      <c r="CH32">
        <f>CF32/N32</f>
        <v>240</v>
      </c>
    </row>
    <row r="33" spans="1:86" ht="15.6" x14ac:dyDescent="0.3">
      <c r="A33">
        <v>32</v>
      </c>
      <c r="B33" s="20" t="s">
        <v>281</v>
      </c>
      <c r="C33" t="s">
        <v>87</v>
      </c>
      <c r="D33">
        <v>-6.6038329999999998</v>
      </c>
      <c r="E33">
        <v>24.7865</v>
      </c>
      <c r="F33">
        <v>626</v>
      </c>
      <c r="G33" t="s">
        <v>88</v>
      </c>
      <c r="H33" t="s">
        <v>135</v>
      </c>
      <c r="I33" t="s">
        <v>90</v>
      </c>
      <c r="J33" t="s">
        <v>115</v>
      </c>
      <c r="K33" t="s">
        <v>273</v>
      </c>
      <c r="L33" t="s">
        <v>183</v>
      </c>
      <c r="M33">
        <f>2</f>
        <v>2</v>
      </c>
      <c r="N33">
        <f>3750/10000</f>
        <v>0.375</v>
      </c>
      <c r="O33" t="s">
        <v>249</v>
      </c>
      <c r="P33" t="s">
        <v>172</v>
      </c>
      <c r="Q33">
        <v>100</v>
      </c>
      <c r="R33" s="19">
        <v>45182</v>
      </c>
      <c r="S33" s="25" t="s">
        <v>90</v>
      </c>
      <c r="T33" t="s">
        <v>268</v>
      </c>
      <c r="U33" t="s">
        <v>180</v>
      </c>
      <c r="V33" t="s">
        <v>95</v>
      </c>
      <c r="W33">
        <v>15</v>
      </c>
      <c r="X33" t="s">
        <v>100</v>
      </c>
      <c r="Y33" t="s">
        <v>97</v>
      </c>
      <c r="Z33">
        <v>1</v>
      </c>
      <c r="AA33" t="s">
        <v>282</v>
      </c>
      <c r="AB33" t="s">
        <v>142</v>
      </c>
      <c r="AC33" t="s">
        <v>100</v>
      </c>
      <c r="AD33">
        <v>12</v>
      </c>
      <c r="AE33" s="24">
        <f t="shared" si="0"/>
        <v>32</v>
      </c>
      <c r="AF33" t="s">
        <v>100</v>
      </c>
      <c r="AG33" t="s">
        <v>101</v>
      </c>
      <c r="AH33" t="s">
        <v>102</v>
      </c>
      <c r="AI33" s="24" t="s">
        <v>103</v>
      </c>
      <c r="AJ33" t="s">
        <v>103</v>
      </c>
      <c r="AK33" t="s">
        <v>103</v>
      </c>
      <c r="AL33" t="s">
        <v>103</v>
      </c>
      <c r="AM33" t="s">
        <v>103</v>
      </c>
      <c r="AN33" t="s">
        <v>103</v>
      </c>
      <c r="AO33" t="s">
        <v>103</v>
      </c>
      <c r="AP33" s="25" t="s">
        <v>90</v>
      </c>
      <c r="AQ33" s="25" t="s">
        <v>90</v>
      </c>
      <c r="AR33">
        <v>0</v>
      </c>
      <c r="AS33" t="s">
        <v>100</v>
      </c>
      <c r="AT33" t="s">
        <v>103</v>
      </c>
      <c r="AU33" t="s">
        <v>95</v>
      </c>
      <c r="AV33" t="s">
        <v>185</v>
      </c>
      <c r="AW33" t="s">
        <v>256</v>
      </c>
      <c r="AX33">
        <f>(108/$N33)</f>
        <v>288</v>
      </c>
      <c r="AY33" s="50">
        <f>(108/$N33)</f>
        <v>288</v>
      </c>
      <c r="AZ33">
        <f>AX33+AX33*((100-Q33)/100)</f>
        <v>288</v>
      </c>
      <c r="BA33">
        <f>AY33+AY33*((100-Q33)/100)</f>
        <v>288</v>
      </c>
      <c r="BB33" t="s">
        <v>90</v>
      </c>
      <c r="BC33" t="s">
        <v>90</v>
      </c>
      <c r="BD33" t="s">
        <v>90</v>
      </c>
      <c r="BE33" t="s">
        <v>90</v>
      </c>
      <c r="BF33">
        <v>1</v>
      </c>
      <c r="BG33">
        <f t="shared" si="2"/>
        <v>2500</v>
      </c>
      <c r="BH33">
        <v>1200</v>
      </c>
      <c r="BI33" t="s">
        <v>90</v>
      </c>
      <c r="BJ33" t="s">
        <v>142</v>
      </c>
      <c r="BK33" t="s">
        <v>101</v>
      </c>
      <c r="BL33">
        <v>13</v>
      </c>
      <c r="BM33" t="s">
        <v>109</v>
      </c>
      <c r="BN33" t="s">
        <v>110</v>
      </c>
      <c r="BO33">
        <v>0</v>
      </c>
      <c r="BP33" t="s">
        <v>132</v>
      </c>
      <c r="BQ33" t="str">
        <f>IF(AND(BP33="Not member",G33="KasaiLomami"),"VC3", "VC1 or VC2")</f>
        <v>VC3</v>
      </c>
      <c r="BR33">
        <v>5.4</v>
      </c>
      <c r="BS33" s="24">
        <v>0.18629999999999999</v>
      </c>
      <c r="BT33" s="26">
        <v>10.92424027</v>
      </c>
      <c r="BU33" s="26">
        <v>41.696111000000002</v>
      </c>
      <c r="BV33" s="26">
        <v>47.379648709999998</v>
      </c>
      <c r="BW33" s="26" t="s">
        <v>168</v>
      </c>
      <c r="BX33" s="26">
        <v>39</v>
      </c>
      <c r="BY33" s="26">
        <v>51</v>
      </c>
      <c r="BZ33" s="26">
        <v>-4</v>
      </c>
      <c r="CA33" s="26">
        <v>47</v>
      </c>
      <c r="CB33">
        <f>IF(AZ33&lt;&gt;"NA",(10000/AZ33)*(125/365),(10000/BA33)*(125/365))</f>
        <v>11.891171993911719</v>
      </c>
      <c r="CC33">
        <f>IF(BA33&lt;&gt;"NA",(10000/BA33)*(125/365),(10000/AZ33)*(125/365))</f>
        <v>11.891171993911719</v>
      </c>
      <c r="CD33">
        <f>AE33/AVERAGE(AZ33,BA33)</f>
        <v>0.1111111111111111</v>
      </c>
      <c r="CE33">
        <f>1.911*IF(AX33&lt;&gt;"NA", AVERAGE(AX33,AY33), AVERAGE(AZ33,BA33))</f>
        <v>550.36800000000005</v>
      </c>
      <c r="CF33">
        <v>0</v>
      </c>
      <c r="CG33" s="27">
        <f>(CF33/N33)/IF(AX33&lt;&gt;"NA", AX33,AY33)</f>
        <v>0</v>
      </c>
      <c r="CH33">
        <f>CF33/N33</f>
        <v>0</v>
      </c>
    </row>
    <row r="34" spans="1:86" ht="15" customHeight="1" x14ac:dyDescent="0.3">
      <c r="A34">
        <v>33</v>
      </c>
      <c r="B34" s="20" t="s">
        <v>283</v>
      </c>
      <c r="C34" t="s">
        <v>87</v>
      </c>
      <c r="D34">
        <v>-6.6049170000000004</v>
      </c>
      <c r="E34">
        <v>24.786332999999999</v>
      </c>
      <c r="F34">
        <v>622</v>
      </c>
      <c r="G34" t="s">
        <v>88</v>
      </c>
      <c r="H34" t="s">
        <v>135</v>
      </c>
      <c r="I34" t="s">
        <v>90</v>
      </c>
      <c r="J34" t="s">
        <v>115</v>
      </c>
      <c r="K34" t="s">
        <v>273</v>
      </c>
      <c r="L34" t="s">
        <v>284</v>
      </c>
      <c r="M34">
        <f>3</f>
        <v>3</v>
      </c>
      <c r="N34">
        <f>3750/10000</f>
        <v>0.375</v>
      </c>
      <c r="O34" t="s">
        <v>249</v>
      </c>
      <c r="P34" t="s">
        <v>228</v>
      </c>
      <c r="Q34">
        <v>100</v>
      </c>
      <c r="R34" s="19">
        <v>45188</v>
      </c>
      <c r="S34" s="25" t="s">
        <v>90</v>
      </c>
      <c r="T34" t="s">
        <v>270</v>
      </c>
      <c r="U34" t="s">
        <v>180</v>
      </c>
      <c r="V34" t="s">
        <v>95</v>
      </c>
      <c r="W34">
        <v>20</v>
      </c>
      <c r="X34" t="s">
        <v>100</v>
      </c>
      <c r="Y34" t="s">
        <v>97</v>
      </c>
      <c r="Z34">
        <v>1</v>
      </c>
      <c r="AA34" t="s">
        <v>282</v>
      </c>
      <c r="AB34" t="s">
        <v>99</v>
      </c>
      <c r="AC34" t="s">
        <v>100</v>
      </c>
      <c r="AD34">
        <v>12</v>
      </c>
      <c r="AE34" s="24">
        <f t="shared" si="0"/>
        <v>32</v>
      </c>
      <c r="AF34" t="s">
        <v>100</v>
      </c>
      <c r="AG34" t="s">
        <v>101</v>
      </c>
      <c r="AH34" t="s">
        <v>175</v>
      </c>
      <c r="AI34" s="24" t="s">
        <v>103</v>
      </c>
      <c r="AJ34" t="s">
        <v>103</v>
      </c>
      <c r="AK34" t="s">
        <v>103</v>
      </c>
      <c r="AL34" t="s">
        <v>103</v>
      </c>
      <c r="AM34" t="s">
        <v>103</v>
      </c>
      <c r="AN34" t="s">
        <v>103</v>
      </c>
      <c r="AO34" t="s">
        <v>103</v>
      </c>
      <c r="AP34" s="25" t="s">
        <v>90</v>
      </c>
      <c r="AQ34" s="25" t="s">
        <v>90</v>
      </c>
      <c r="AR34">
        <v>0</v>
      </c>
      <c r="AS34" t="s">
        <v>100</v>
      </c>
      <c r="AT34" t="s">
        <v>103</v>
      </c>
      <c r="AU34" t="s">
        <v>95</v>
      </c>
      <c r="AV34" t="s">
        <v>185</v>
      </c>
      <c r="AW34" t="s">
        <v>256</v>
      </c>
      <c r="AX34">
        <f>(140/$N34)</f>
        <v>373.33333333333331</v>
      </c>
      <c r="AY34" s="50">
        <f>(140/$N34)</f>
        <v>373.33333333333331</v>
      </c>
      <c r="AZ34">
        <f>AX34+AX34*((100-Q34)/100)</f>
        <v>373.33333333333331</v>
      </c>
      <c r="BA34">
        <f>AY34+AY34*((100-Q34)/100)</f>
        <v>373.33333333333331</v>
      </c>
      <c r="BB34" t="s">
        <v>90</v>
      </c>
      <c r="BC34" t="s">
        <v>90</v>
      </c>
      <c r="BD34" t="s">
        <v>90</v>
      </c>
      <c r="BE34" t="s">
        <v>90</v>
      </c>
      <c r="BF34">
        <v>1</v>
      </c>
      <c r="BG34">
        <f t="shared" si="2"/>
        <v>2500</v>
      </c>
      <c r="BH34">
        <v>1200</v>
      </c>
      <c r="BI34" t="s">
        <v>90</v>
      </c>
      <c r="BJ34" t="s">
        <v>142</v>
      </c>
      <c r="BK34" t="s">
        <v>101</v>
      </c>
      <c r="BL34">
        <v>13</v>
      </c>
      <c r="BM34" t="s">
        <v>258</v>
      </c>
      <c r="BN34" t="s">
        <v>110</v>
      </c>
      <c r="BO34">
        <v>0</v>
      </c>
      <c r="BP34" t="s">
        <v>132</v>
      </c>
      <c r="BQ34" t="str">
        <f>IF(AND(BP34="Not member",G34="KasaiLomami"),"VC3", "VC1 or VC2")</f>
        <v>VC3</v>
      </c>
      <c r="BR34">
        <v>5.09</v>
      </c>
      <c r="BS34" s="24">
        <v>7.5399999999999995E-2</v>
      </c>
      <c r="BT34" s="26">
        <v>23.096973720000001</v>
      </c>
      <c r="BU34" s="26">
        <v>43.128556000000003</v>
      </c>
      <c r="BV34" s="26">
        <v>33.774470280000003</v>
      </c>
      <c r="BW34" s="26" t="s">
        <v>168</v>
      </c>
      <c r="BX34" s="26">
        <v>39</v>
      </c>
      <c r="BY34" s="26">
        <v>23.64</v>
      </c>
      <c r="BZ34" s="26">
        <v>23.36</v>
      </c>
      <c r="CA34" s="26">
        <v>47</v>
      </c>
      <c r="CB34">
        <f>IF(AZ34&lt;&gt;"NA",(10000/AZ34)*(125/365),(10000/BA34)*(125/365))</f>
        <v>9.1731898238747558</v>
      </c>
      <c r="CC34">
        <f>IF(BA34&lt;&gt;"NA",(10000/BA34)*(125/365),(10000/AZ34)*(125/365))</f>
        <v>9.1731898238747558</v>
      </c>
      <c r="CD34">
        <f>AE34/AVERAGE(AZ34,BA34)</f>
        <v>8.5714285714285715E-2</v>
      </c>
      <c r="CE34">
        <f>1.911*IF(AX34&lt;&gt;"NA", AVERAGE(AX34,AY34), AVERAGE(AZ34,BA34))</f>
        <v>713.43999999999994</v>
      </c>
      <c r="CF34">
        <v>0</v>
      </c>
      <c r="CG34" s="27">
        <f>(CF34/N34)/IF(AX34&lt;&gt;"NA", AX34,AY34)</f>
        <v>0</v>
      </c>
      <c r="CH34">
        <f>CF34/N34</f>
        <v>0</v>
      </c>
    </row>
    <row r="35" spans="1:86" ht="15.6" x14ac:dyDescent="0.3">
      <c r="A35">
        <v>34</v>
      </c>
      <c r="B35" s="20" t="s">
        <v>285</v>
      </c>
      <c r="C35" t="s">
        <v>134</v>
      </c>
      <c r="D35">
        <v>-6.5706389999999999</v>
      </c>
      <c r="E35">
        <v>24.787721999999999</v>
      </c>
      <c r="F35">
        <v>625</v>
      </c>
      <c r="G35" t="s">
        <v>88</v>
      </c>
      <c r="H35" t="s">
        <v>135</v>
      </c>
      <c r="I35" t="s">
        <v>90</v>
      </c>
      <c r="J35" t="s">
        <v>91</v>
      </c>
      <c r="K35" t="s">
        <v>286</v>
      </c>
      <c r="L35" t="s">
        <v>287</v>
      </c>
      <c r="M35">
        <f>1</f>
        <v>1</v>
      </c>
      <c r="N35">
        <f>750/10000</f>
        <v>7.4999999999999997E-2</v>
      </c>
      <c r="O35" t="s">
        <v>267</v>
      </c>
      <c r="P35" t="s">
        <v>228</v>
      </c>
      <c r="Q35">
        <v>50</v>
      </c>
      <c r="R35" s="19">
        <v>45210</v>
      </c>
      <c r="S35" s="25" t="s">
        <v>90</v>
      </c>
      <c r="T35" t="s">
        <v>270</v>
      </c>
      <c r="U35" t="s">
        <v>180</v>
      </c>
      <c r="V35" t="s">
        <v>95</v>
      </c>
      <c r="W35">
        <v>20</v>
      </c>
      <c r="X35" t="s">
        <v>100</v>
      </c>
      <c r="Y35" t="s">
        <v>97</v>
      </c>
      <c r="Z35">
        <v>3</v>
      </c>
      <c r="AA35" t="s">
        <v>282</v>
      </c>
      <c r="AB35" t="s">
        <v>142</v>
      </c>
      <c r="AC35" t="s">
        <v>100</v>
      </c>
      <c r="AD35">
        <v>2.5</v>
      </c>
      <c r="AE35" s="24">
        <f t="shared" si="0"/>
        <v>66.666666666666671</v>
      </c>
      <c r="AF35" t="s">
        <v>100</v>
      </c>
      <c r="AG35" t="s">
        <v>101</v>
      </c>
      <c r="AH35" t="s">
        <v>237</v>
      </c>
      <c r="AI35" s="24" t="s">
        <v>103</v>
      </c>
      <c r="AJ35" t="s">
        <v>103</v>
      </c>
      <c r="AK35" t="s">
        <v>103</v>
      </c>
      <c r="AL35" t="s">
        <v>103</v>
      </c>
      <c r="AM35" t="s">
        <v>103</v>
      </c>
      <c r="AN35" t="s">
        <v>103</v>
      </c>
      <c r="AO35" t="s">
        <v>103</v>
      </c>
      <c r="AP35" s="25" t="s">
        <v>90</v>
      </c>
      <c r="AQ35" s="25" t="s">
        <v>90</v>
      </c>
      <c r="AR35">
        <v>0</v>
      </c>
      <c r="AS35" t="s">
        <v>100</v>
      </c>
      <c r="AT35" t="s">
        <v>103</v>
      </c>
      <c r="AU35" t="s">
        <v>95</v>
      </c>
      <c r="AV35" t="s">
        <v>185</v>
      </c>
      <c r="AW35" t="s">
        <v>256</v>
      </c>
      <c r="AX35">
        <f>(18/$N35)</f>
        <v>240</v>
      </c>
      <c r="AY35" s="50">
        <f>(18/$N35)</f>
        <v>240</v>
      </c>
      <c r="AZ35">
        <f>AX35+AX35*((100-Q35)/100)</f>
        <v>360</v>
      </c>
      <c r="BA35">
        <f>AY35+AY35*((100-Q35)/100)</f>
        <v>360</v>
      </c>
      <c r="BB35" t="s">
        <v>90</v>
      </c>
      <c r="BC35" t="s">
        <v>90</v>
      </c>
      <c r="BD35">
        <f>6*4/$N35</f>
        <v>320</v>
      </c>
      <c r="BE35">
        <f>BD35+(BD35*Q35)/(100-Q35)</f>
        <v>640</v>
      </c>
      <c r="BF35">
        <f>AX35/AZ35+BD35/BE35</f>
        <v>1.1666666666666665</v>
      </c>
      <c r="BG35">
        <f t="shared" si="2"/>
        <v>2500</v>
      </c>
      <c r="BH35">
        <v>1200</v>
      </c>
      <c r="BI35" t="s">
        <v>90</v>
      </c>
      <c r="BJ35" t="s">
        <v>142</v>
      </c>
      <c r="BK35" t="s">
        <v>101</v>
      </c>
      <c r="BL35">
        <v>13</v>
      </c>
      <c r="BM35" t="s">
        <v>109</v>
      </c>
      <c r="BN35" t="s">
        <v>110</v>
      </c>
      <c r="BO35">
        <v>0</v>
      </c>
      <c r="BP35" t="s">
        <v>132</v>
      </c>
      <c r="BQ35" t="str">
        <f>IF(AND(BP35="Not member",G35="KasaiLomami"),"VC3", "VC1 or VC2")</f>
        <v>VC3</v>
      </c>
      <c r="BR35">
        <v>5.5</v>
      </c>
      <c r="BS35" s="24">
        <v>0.20699999999999999</v>
      </c>
      <c r="BT35" s="26">
        <v>14.252618099999999</v>
      </c>
      <c r="BU35" s="26">
        <v>56.666409999999999</v>
      </c>
      <c r="BV35" s="26">
        <v>29.080971999999999</v>
      </c>
      <c r="BW35" s="26" t="s">
        <v>163</v>
      </c>
      <c r="BX35" s="26">
        <v>39</v>
      </c>
      <c r="BY35" s="26">
        <v>63.3</v>
      </c>
      <c r="BZ35" s="26">
        <v>-16.299999999999997</v>
      </c>
      <c r="CA35" s="26">
        <v>47</v>
      </c>
      <c r="CB35">
        <f>IF(AZ35&lt;&gt;"NA",(10000/AZ35)*(125/365),(10000/BA35)*(125/365))</f>
        <v>9.512937595129376</v>
      </c>
      <c r="CC35">
        <f>IF(BA35&lt;&gt;"NA",(10000/BA35)*(125/365),(10000/AZ35)*(125/365))</f>
        <v>9.512937595129376</v>
      </c>
      <c r="CD35">
        <f>AE35/AVERAGE(AZ35,BA35)</f>
        <v>0.1851851851851852</v>
      </c>
      <c r="CE35">
        <f>1.911*IF(AX35&lt;&gt;"NA", AVERAGE(AX35,AY35), AVERAGE(AZ35,BA35))</f>
        <v>458.64</v>
      </c>
      <c r="CF35">
        <v>0</v>
      </c>
      <c r="CG35" s="27">
        <f>(CF35/N35)/IF(AX35&lt;&gt;"NA", AX35,AY35)</f>
        <v>0</v>
      </c>
      <c r="CH35">
        <f>CF35/N35</f>
        <v>0</v>
      </c>
    </row>
    <row r="36" spans="1:86" ht="15.6" x14ac:dyDescent="0.3">
      <c r="A36">
        <v>35</v>
      </c>
      <c r="B36" s="20" t="s">
        <v>288</v>
      </c>
      <c r="C36" t="s">
        <v>87</v>
      </c>
      <c r="D36">
        <v>-6.6730830000000001</v>
      </c>
      <c r="E36">
        <v>24.808833</v>
      </c>
      <c r="F36">
        <v>657</v>
      </c>
      <c r="G36" t="s">
        <v>88</v>
      </c>
      <c r="H36" t="s">
        <v>135</v>
      </c>
      <c r="I36" t="s">
        <v>90</v>
      </c>
      <c r="J36" t="s">
        <v>115</v>
      </c>
      <c r="K36" t="s">
        <v>138</v>
      </c>
      <c r="L36" t="s">
        <v>227</v>
      </c>
      <c r="M36">
        <f>1.75</f>
        <v>1.75</v>
      </c>
      <c r="N36">
        <f>900/10000</f>
        <v>0.09</v>
      </c>
      <c r="O36" t="s">
        <v>248</v>
      </c>
      <c r="P36" t="s">
        <v>228</v>
      </c>
      <c r="Q36">
        <v>60</v>
      </c>
      <c r="R36" s="19">
        <v>45185</v>
      </c>
      <c r="S36" s="25" t="s">
        <v>90</v>
      </c>
      <c r="T36" t="s">
        <v>268</v>
      </c>
      <c r="U36" t="s">
        <v>180</v>
      </c>
      <c r="V36" t="s">
        <v>95</v>
      </c>
      <c r="W36">
        <v>15</v>
      </c>
      <c r="X36" t="s">
        <v>100</v>
      </c>
      <c r="Y36" t="s">
        <v>184</v>
      </c>
      <c r="Z36">
        <v>2</v>
      </c>
      <c r="AA36" t="s">
        <v>282</v>
      </c>
      <c r="AB36" t="s">
        <v>99</v>
      </c>
      <c r="AC36" t="s">
        <v>100</v>
      </c>
      <c r="AD36">
        <v>3</v>
      </c>
      <c r="AE36" s="24">
        <f t="shared" si="0"/>
        <v>55.555555555555564</v>
      </c>
      <c r="AF36" t="s">
        <v>100</v>
      </c>
      <c r="AG36" t="s">
        <v>101</v>
      </c>
      <c r="AH36" t="s">
        <v>102</v>
      </c>
      <c r="AI36" s="24" t="s">
        <v>103</v>
      </c>
      <c r="AJ36" t="s">
        <v>103</v>
      </c>
      <c r="AK36" t="s">
        <v>103</v>
      </c>
      <c r="AL36" t="s">
        <v>103</v>
      </c>
      <c r="AM36" t="s">
        <v>103</v>
      </c>
      <c r="AN36" t="s">
        <v>103</v>
      </c>
      <c r="AO36" t="s">
        <v>103</v>
      </c>
      <c r="AP36" s="25" t="s">
        <v>90</v>
      </c>
      <c r="AQ36" s="25" t="s">
        <v>90</v>
      </c>
      <c r="AR36">
        <v>0</v>
      </c>
      <c r="AS36" t="s">
        <v>100</v>
      </c>
      <c r="AT36" t="s">
        <v>103</v>
      </c>
      <c r="AU36" t="s">
        <v>95</v>
      </c>
      <c r="AV36" t="s">
        <v>185</v>
      </c>
      <c r="AW36" t="s">
        <v>256</v>
      </c>
      <c r="AX36">
        <f>(18/$N36)</f>
        <v>200</v>
      </c>
      <c r="AY36" s="50">
        <f>(18/$N36)</f>
        <v>200</v>
      </c>
      <c r="AZ36">
        <f>AX36+AX36*((100-Q36)/100)</f>
        <v>280</v>
      </c>
      <c r="BA36">
        <f>AY36+AY36*((100-Q36)/100)</f>
        <v>280</v>
      </c>
      <c r="BB36" t="s">
        <v>90</v>
      </c>
      <c r="BC36" t="s">
        <v>90</v>
      </c>
      <c r="BD36">
        <f>10*4/$N36</f>
        <v>444.44444444444446</v>
      </c>
      <c r="BE36">
        <f>BD36+(BD36*Q36)/(100-Q36)</f>
        <v>1111.1111111111113</v>
      </c>
      <c r="BF36">
        <f>AX36/AZ36+BD36/BE36</f>
        <v>1.1142857142857143</v>
      </c>
      <c r="BG36">
        <f t="shared" si="2"/>
        <v>2500</v>
      </c>
      <c r="BH36">
        <v>1200</v>
      </c>
      <c r="BI36" t="s">
        <v>90</v>
      </c>
      <c r="BJ36" t="s">
        <v>142</v>
      </c>
      <c r="BK36" t="s">
        <v>101</v>
      </c>
      <c r="BL36">
        <v>13</v>
      </c>
      <c r="BM36" t="s">
        <v>258</v>
      </c>
      <c r="BN36" t="s">
        <v>110</v>
      </c>
      <c r="BO36">
        <v>1</v>
      </c>
      <c r="BP36" t="s">
        <v>145</v>
      </c>
      <c r="BQ36" t="s">
        <v>146</v>
      </c>
      <c r="BR36">
        <v>5.45</v>
      </c>
      <c r="BS36" s="24">
        <v>5.0099999999999999E-2</v>
      </c>
      <c r="BT36" s="26">
        <v>35.391267900000003</v>
      </c>
      <c r="BU36" s="26">
        <v>41.101469999999999</v>
      </c>
      <c r="BV36" s="26">
        <v>22.985851</v>
      </c>
      <c r="BW36" s="26" t="s">
        <v>192</v>
      </c>
      <c r="BX36" s="26">
        <v>47</v>
      </c>
      <c r="BY36" s="26">
        <v>26.909999999999997</v>
      </c>
      <c r="BZ36" s="26">
        <v>20.090000000000003</v>
      </c>
      <c r="CA36" s="26">
        <v>47</v>
      </c>
      <c r="CB36">
        <f>IF(AZ36&lt;&gt;"NA",(10000/AZ36)*(125/365),(10000/BA36)*(125/365))</f>
        <v>12.230919765166341</v>
      </c>
      <c r="CC36">
        <f>IF(BA36&lt;&gt;"NA",(10000/BA36)*(125/365),(10000/AZ36)*(125/365))</f>
        <v>12.230919765166341</v>
      </c>
      <c r="CD36">
        <f>AE36/AVERAGE(AZ36,BA36)</f>
        <v>0.19841269841269846</v>
      </c>
      <c r="CE36">
        <f>1.911*IF(AX36&lt;&gt;"NA", AVERAGE(AX36,AY36), AVERAGE(AZ36,BA36))</f>
        <v>382.2</v>
      </c>
      <c r="CF36">
        <v>0</v>
      </c>
      <c r="CG36" s="27">
        <f>(CF36/N36)/IF(AX36&lt;&gt;"NA", AX36,AY36)</f>
        <v>0</v>
      </c>
      <c r="CH36">
        <f>CF36/N36</f>
        <v>0</v>
      </c>
    </row>
    <row r="37" spans="1:86" ht="15.6" x14ac:dyDescent="0.3">
      <c r="A37">
        <v>36</v>
      </c>
      <c r="B37" s="20" t="s">
        <v>289</v>
      </c>
      <c r="C37" t="s">
        <v>134</v>
      </c>
      <c r="D37">
        <v>-6.7741939999999996</v>
      </c>
      <c r="E37">
        <v>24.037638999999999</v>
      </c>
      <c r="F37">
        <v>690</v>
      </c>
      <c r="G37" t="s">
        <v>88</v>
      </c>
      <c r="H37" t="s">
        <v>135</v>
      </c>
      <c r="I37" t="s">
        <v>90</v>
      </c>
      <c r="J37" t="s">
        <v>115</v>
      </c>
      <c r="K37" t="s">
        <v>273</v>
      </c>
      <c r="L37" t="s">
        <v>273</v>
      </c>
      <c r="M37">
        <f>2.5</f>
        <v>2.5</v>
      </c>
      <c r="N37">
        <f>2500/10000</f>
        <v>0.25</v>
      </c>
      <c r="O37" t="s">
        <v>249</v>
      </c>
      <c r="P37" t="s">
        <v>93</v>
      </c>
      <c r="Q37">
        <v>100</v>
      </c>
      <c r="R37" s="19">
        <v>45217</v>
      </c>
      <c r="S37" s="25" t="s">
        <v>90</v>
      </c>
      <c r="T37" t="s">
        <v>182</v>
      </c>
      <c r="U37" t="s">
        <v>180</v>
      </c>
      <c r="V37" t="s">
        <v>95</v>
      </c>
      <c r="W37">
        <v>15</v>
      </c>
      <c r="X37" t="s">
        <v>100</v>
      </c>
      <c r="Y37" t="s">
        <v>184</v>
      </c>
      <c r="Z37">
        <v>2</v>
      </c>
      <c r="AA37" t="s">
        <v>282</v>
      </c>
      <c r="AB37" t="s">
        <v>142</v>
      </c>
      <c r="AC37" t="s">
        <v>100</v>
      </c>
      <c r="AD37">
        <v>9</v>
      </c>
      <c r="AE37" s="24">
        <f t="shared" si="0"/>
        <v>36</v>
      </c>
      <c r="AF37" t="s">
        <v>100</v>
      </c>
      <c r="AG37" t="s">
        <v>101</v>
      </c>
      <c r="AH37" t="s">
        <v>175</v>
      </c>
      <c r="AI37" s="24" t="s">
        <v>103</v>
      </c>
      <c r="AJ37" t="s">
        <v>103</v>
      </c>
      <c r="AK37" t="s">
        <v>103</v>
      </c>
      <c r="AL37" t="s">
        <v>103</v>
      </c>
      <c r="AM37" t="s">
        <v>103</v>
      </c>
      <c r="AN37" t="s">
        <v>103</v>
      </c>
      <c r="AO37" t="s">
        <v>103</v>
      </c>
      <c r="AP37" s="25" t="s">
        <v>90</v>
      </c>
      <c r="AQ37" s="25" t="s">
        <v>90</v>
      </c>
      <c r="AR37">
        <v>0</v>
      </c>
      <c r="AS37" t="s">
        <v>100</v>
      </c>
      <c r="AT37" t="s">
        <v>103</v>
      </c>
      <c r="AU37" t="s">
        <v>95</v>
      </c>
      <c r="AV37" t="s">
        <v>185</v>
      </c>
      <c r="AW37" t="s">
        <v>256</v>
      </c>
      <c r="AX37">
        <f>(125/$N37)</f>
        <v>500</v>
      </c>
      <c r="AY37" s="50">
        <f>(85/$N37)</f>
        <v>340</v>
      </c>
      <c r="AZ37">
        <f>AX37+AX37*((100-Q37)/100)</f>
        <v>500</v>
      </c>
      <c r="BA37">
        <f>AY37+AY37*((100-Q37)/100)</f>
        <v>340</v>
      </c>
      <c r="BB37" t="s">
        <v>90</v>
      </c>
      <c r="BC37" t="s">
        <v>90</v>
      </c>
      <c r="BD37" t="s">
        <v>90</v>
      </c>
      <c r="BE37" t="s">
        <v>90</v>
      </c>
      <c r="BF37">
        <v>1</v>
      </c>
      <c r="BG37">
        <f t="shared" si="2"/>
        <v>2500</v>
      </c>
      <c r="BH37">
        <v>1200</v>
      </c>
      <c r="BI37" t="s">
        <v>90</v>
      </c>
      <c r="BJ37" t="s">
        <v>142</v>
      </c>
      <c r="BK37" t="s">
        <v>101</v>
      </c>
      <c r="BL37">
        <v>13</v>
      </c>
      <c r="BM37" t="s">
        <v>109</v>
      </c>
      <c r="BN37" t="s">
        <v>110</v>
      </c>
      <c r="BO37">
        <v>0</v>
      </c>
      <c r="BP37" t="s">
        <v>132</v>
      </c>
      <c r="BQ37" t="str">
        <f>IF(AND(BP37="Not member",G37="KasaiLomami"),"VC3", "VC1 or VC2")</f>
        <v>VC3</v>
      </c>
      <c r="BR37">
        <v>5.31</v>
      </c>
      <c r="BS37" s="24">
        <v>0.19800000000000001</v>
      </c>
      <c r="BT37" s="26">
        <v>20.178709000000001</v>
      </c>
      <c r="BU37" s="26">
        <v>54.922280999999998</v>
      </c>
      <c r="BV37" s="26">
        <v>24.899010000000001</v>
      </c>
      <c r="BW37" s="26" t="s">
        <v>163</v>
      </c>
      <c r="BX37" s="26">
        <v>39</v>
      </c>
      <c r="BY37" s="26">
        <v>30.659999999999997</v>
      </c>
      <c r="BZ37" s="26">
        <v>16.340000000000003</v>
      </c>
      <c r="CA37" s="26">
        <v>47</v>
      </c>
      <c r="CB37">
        <f>IF(AZ37&lt;&gt;"NA",(10000/AZ37)*(125/365),(10000/BA37)*(125/365))</f>
        <v>6.8493150684931505</v>
      </c>
      <c r="CC37">
        <f>IF(BA37&lt;&gt;"NA",(10000/BA37)*(125/365),(10000/AZ37)*(125/365))</f>
        <v>10.07252215954875</v>
      </c>
      <c r="CD37">
        <f>AE37/AVERAGE(AZ37,BA37)</f>
        <v>8.5714285714285715E-2</v>
      </c>
      <c r="CE37">
        <f>1.911*IF(AX37&lt;&gt;"NA", AVERAGE(AX37,AY37), AVERAGE(AZ37,BA37))</f>
        <v>802.62</v>
      </c>
      <c r="CF37">
        <v>0</v>
      </c>
      <c r="CG37" s="27">
        <f>(CF37/N37)/IF(AX37&lt;&gt;"NA", AX37,AY37)</f>
        <v>0</v>
      </c>
      <c r="CH37">
        <f>CF37/N37</f>
        <v>0</v>
      </c>
    </row>
    <row r="38" spans="1:86" ht="15.6" x14ac:dyDescent="0.3">
      <c r="A38">
        <v>37</v>
      </c>
      <c r="B38" s="20" t="s">
        <v>290</v>
      </c>
      <c r="C38" t="s">
        <v>134</v>
      </c>
      <c r="D38">
        <v>-6.7787499999999996</v>
      </c>
      <c r="E38">
        <v>24.040389000000001</v>
      </c>
      <c r="F38">
        <v>670</v>
      </c>
      <c r="G38" t="s">
        <v>88</v>
      </c>
      <c r="H38" t="s">
        <v>135</v>
      </c>
      <c r="I38" t="s">
        <v>90</v>
      </c>
      <c r="J38" t="s">
        <v>91</v>
      </c>
      <c r="K38" t="s">
        <v>179</v>
      </c>
      <c r="L38" t="s">
        <v>234</v>
      </c>
      <c r="M38">
        <f>2500/10000</f>
        <v>0.25</v>
      </c>
      <c r="N38">
        <f>1000/10000</f>
        <v>0.1</v>
      </c>
      <c r="O38" t="s">
        <v>267</v>
      </c>
      <c r="P38" t="s">
        <v>172</v>
      </c>
      <c r="Q38">
        <v>50</v>
      </c>
      <c r="R38" s="19">
        <v>45233</v>
      </c>
      <c r="S38" s="25" t="s">
        <v>90</v>
      </c>
      <c r="T38" t="s">
        <v>182</v>
      </c>
      <c r="U38" t="s">
        <v>180</v>
      </c>
      <c r="V38" t="s">
        <v>95</v>
      </c>
      <c r="W38">
        <v>10</v>
      </c>
      <c r="X38" t="s">
        <v>100</v>
      </c>
      <c r="Y38" t="s">
        <v>291</v>
      </c>
      <c r="Z38">
        <v>2</v>
      </c>
      <c r="AA38" t="s">
        <v>282</v>
      </c>
      <c r="AB38" t="s">
        <v>142</v>
      </c>
      <c r="AC38" t="s">
        <v>100</v>
      </c>
      <c r="AD38">
        <v>3</v>
      </c>
      <c r="AE38" s="24">
        <f t="shared" si="0"/>
        <v>60</v>
      </c>
      <c r="AF38" t="s">
        <v>100</v>
      </c>
      <c r="AG38" t="s">
        <v>101</v>
      </c>
      <c r="AH38" t="s">
        <v>102</v>
      </c>
      <c r="AI38" s="24" t="s">
        <v>103</v>
      </c>
      <c r="AJ38" t="s">
        <v>103</v>
      </c>
      <c r="AK38" t="s">
        <v>103</v>
      </c>
      <c r="AL38" t="s">
        <v>103</v>
      </c>
      <c r="AM38" t="s">
        <v>103</v>
      </c>
      <c r="AN38" t="s">
        <v>103</v>
      </c>
      <c r="AO38" t="s">
        <v>103</v>
      </c>
      <c r="AP38" s="25" t="s">
        <v>90</v>
      </c>
      <c r="AQ38" s="25" t="s">
        <v>90</v>
      </c>
      <c r="AR38" t="s">
        <v>292</v>
      </c>
      <c r="AS38" t="s">
        <v>293</v>
      </c>
      <c r="AT38" t="s">
        <v>103</v>
      </c>
      <c r="AU38" t="s">
        <v>95</v>
      </c>
      <c r="AV38" t="s">
        <v>185</v>
      </c>
      <c r="AW38" t="s">
        <v>256</v>
      </c>
      <c r="AX38">
        <f>(45/$N38)</f>
        <v>450</v>
      </c>
      <c r="AY38" s="50">
        <f>(30/$N38)</f>
        <v>300</v>
      </c>
      <c r="AZ38">
        <f>AX38+AX38*((100-Q38)/100)</f>
        <v>675</v>
      </c>
      <c r="BA38">
        <f>AY38+AY38*((100-Q38)/100)</f>
        <v>450</v>
      </c>
      <c r="BB38">
        <f>(55/$N38)</f>
        <v>550</v>
      </c>
      <c r="BC38">
        <f>BB38+(BB38*Q38)/(100-Q38)</f>
        <v>1100</v>
      </c>
      <c r="BD38">
        <f>15*4/$N38</f>
        <v>600</v>
      </c>
      <c r="BE38">
        <f>BD38+(BD38*Q38)/(100-Q38)</f>
        <v>1200</v>
      </c>
      <c r="BF38">
        <f>AX38/AZ38+BD38/BE38</f>
        <v>1.1666666666666665</v>
      </c>
      <c r="BG38">
        <f t="shared" si="2"/>
        <v>2500</v>
      </c>
      <c r="BH38">
        <v>1200</v>
      </c>
      <c r="BI38" t="s">
        <v>90</v>
      </c>
      <c r="BJ38" t="s">
        <v>142</v>
      </c>
      <c r="BK38" t="s">
        <v>101</v>
      </c>
      <c r="BL38">
        <v>13</v>
      </c>
      <c r="BM38" t="s">
        <v>258</v>
      </c>
      <c r="BN38" t="s">
        <v>110</v>
      </c>
      <c r="BO38">
        <v>0</v>
      </c>
      <c r="BP38" t="s">
        <v>132</v>
      </c>
      <c r="BQ38" t="str">
        <f>IF(AND(BP38="Not member",G38="KasaiLomami"),"VC3", "VC1 or VC2")</f>
        <v>VC3</v>
      </c>
      <c r="BR38">
        <v>5.88</v>
      </c>
      <c r="BS38" s="24">
        <v>0.2</v>
      </c>
      <c r="BT38" s="26">
        <v>15.482059599999999</v>
      </c>
      <c r="BU38" s="26">
        <v>77.881615400000001</v>
      </c>
      <c r="BV38" s="26">
        <v>6.6363250000000003</v>
      </c>
      <c r="BW38" s="26" t="s">
        <v>163</v>
      </c>
      <c r="BX38" s="26">
        <v>39</v>
      </c>
      <c r="BY38" s="26">
        <v>55.2</v>
      </c>
      <c r="BZ38" s="26">
        <v>-8.2000000000000028</v>
      </c>
      <c r="CA38" s="26">
        <v>47</v>
      </c>
      <c r="CB38">
        <f>IF(AZ38&lt;&gt;"NA",(10000/AZ38)*(125/365),(10000/BA38)*(125/365))</f>
        <v>5.0735667174023336</v>
      </c>
      <c r="CC38">
        <f>IF(BA38&lt;&gt;"NA",(10000/BA38)*(125/365),(10000/AZ38)*(125/365))</f>
        <v>7.6103500761034999</v>
      </c>
      <c r="CD38">
        <f>AE38/AVERAGE(AZ38,BA38)</f>
        <v>0.10666666666666667</v>
      </c>
      <c r="CE38">
        <f>1.911*IF(AX38&lt;&gt;"NA", AVERAGE(AX38,AY38), AVERAGE(AZ38,BA38))</f>
        <v>716.625</v>
      </c>
      <c r="CF38">
        <v>0</v>
      </c>
      <c r="CG38" s="27">
        <f>(CF38/N38)/IF(AX38&lt;&gt;"NA", AX38,AY38)</f>
        <v>0</v>
      </c>
      <c r="CH38">
        <f>CF38/N38</f>
        <v>0</v>
      </c>
    </row>
    <row r="39" spans="1:86" s="24" customFormat="1" ht="15.6" x14ac:dyDescent="0.3">
      <c r="A39">
        <v>38</v>
      </c>
      <c r="B39" s="20" t="s">
        <v>294</v>
      </c>
      <c r="C39" t="s">
        <v>134</v>
      </c>
      <c r="D39" s="24">
        <v>-6.7789440000000001</v>
      </c>
      <c r="E39" s="24">
        <v>24.043555999999999</v>
      </c>
      <c r="F39" s="24">
        <v>659</v>
      </c>
      <c r="G39" t="s">
        <v>88</v>
      </c>
      <c r="H39" s="24" t="s">
        <v>135</v>
      </c>
      <c r="I39" t="s">
        <v>90</v>
      </c>
      <c r="J39" s="24" t="s">
        <v>115</v>
      </c>
      <c r="K39" s="24" t="s">
        <v>273</v>
      </c>
      <c r="L39" s="24" t="s">
        <v>273</v>
      </c>
      <c r="M39" s="24">
        <f>1.5</f>
        <v>1.5</v>
      </c>
      <c r="N39" s="24">
        <f>1500/10000</f>
        <v>0.15</v>
      </c>
      <c r="O39" s="24" t="s">
        <v>249</v>
      </c>
      <c r="P39" s="24" t="s">
        <v>172</v>
      </c>
      <c r="Q39" s="24">
        <v>100</v>
      </c>
      <c r="R39" s="31">
        <v>45204</v>
      </c>
      <c r="S39" s="25" t="s">
        <v>90</v>
      </c>
      <c r="T39" s="24" t="s">
        <v>182</v>
      </c>
      <c r="U39" s="24" t="s">
        <v>180</v>
      </c>
      <c r="V39" s="24" t="s">
        <v>95</v>
      </c>
      <c r="W39" s="24">
        <v>10</v>
      </c>
      <c r="X39" s="24" t="s">
        <v>100</v>
      </c>
      <c r="Y39" s="24" t="s">
        <v>291</v>
      </c>
      <c r="Z39" s="24">
        <v>2</v>
      </c>
      <c r="AA39" t="s">
        <v>282</v>
      </c>
      <c r="AB39" t="s">
        <v>142</v>
      </c>
      <c r="AC39" s="24" t="s">
        <v>100</v>
      </c>
      <c r="AD39" s="24">
        <v>4.5</v>
      </c>
      <c r="AE39" s="24">
        <f t="shared" si="0"/>
        <v>30</v>
      </c>
      <c r="AF39" s="24" t="s">
        <v>100</v>
      </c>
      <c r="AG39" s="24" t="s">
        <v>101</v>
      </c>
      <c r="AH39" s="24" t="s">
        <v>237</v>
      </c>
      <c r="AI39" s="24" t="s">
        <v>103</v>
      </c>
      <c r="AJ39" s="24" t="s">
        <v>103</v>
      </c>
      <c r="AK39" s="24" t="s">
        <v>103</v>
      </c>
      <c r="AL39" t="s">
        <v>103</v>
      </c>
      <c r="AM39" s="24" t="s">
        <v>103</v>
      </c>
      <c r="AN39" s="24" t="s">
        <v>103</v>
      </c>
      <c r="AO39" s="24" t="s">
        <v>103</v>
      </c>
      <c r="AP39" s="25" t="s">
        <v>90</v>
      </c>
      <c r="AQ39" s="25" t="s">
        <v>90</v>
      </c>
      <c r="AR39" s="24">
        <v>0</v>
      </c>
      <c r="AS39" s="24" t="s">
        <v>100</v>
      </c>
      <c r="AT39" s="24" t="s">
        <v>103</v>
      </c>
      <c r="AU39" s="24" t="s">
        <v>95</v>
      </c>
      <c r="AV39" s="24" t="s">
        <v>185</v>
      </c>
      <c r="AW39" s="24" t="s">
        <v>256</v>
      </c>
      <c r="AX39" s="24">
        <f>(90/$N39)</f>
        <v>600</v>
      </c>
      <c r="AY39" s="50">
        <f>(85/$N39)</f>
        <v>566.66666666666674</v>
      </c>
      <c r="AZ39" s="24">
        <f>AX39+AX39*((100-Q39)/100)</f>
        <v>600</v>
      </c>
      <c r="BA39" s="24">
        <f>AY39+AY39*((100-Q39)/100)</f>
        <v>566.66666666666674</v>
      </c>
      <c r="BB39" s="24" t="s">
        <v>90</v>
      </c>
      <c r="BC39" s="24" t="s">
        <v>90</v>
      </c>
      <c r="BD39" s="24" t="s">
        <v>90</v>
      </c>
      <c r="BE39" s="24" t="s">
        <v>90</v>
      </c>
      <c r="BF39" s="24">
        <v>1</v>
      </c>
      <c r="BG39" s="24">
        <f t="shared" si="2"/>
        <v>2500</v>
      </c>
      <c r="BH39" s="25" t="s">
        <v>90</v>
      </c>
      <c r="BI39" s="25" t="s">
        <v>90</v>
      </c>
      <c r="BJ39" s="24" t="s">
        <v>142</v>
      </c>
      <c r="BK39" s="24" t="s">
        <v>101</v>
      </c>
      <c r="BL39" s="24">
        <v>13</v>
      </c>
      <c r="BM39" s="24" t="s">
        <v>109</v>
      </c>
      <c r="BN39" t="s">
        <v>110</v>
      </c>
      <c r="BO39">
        <v>0</v>
      </c>
      <c r="BP39" t="s">
        <v>132</v>
      </c>
      <c r="BQ39" t="str">
        <f>IF(AND(BP39="Not member",G39="KasaiLomami"),"VC3", "VC1 or VC2")</f>
        <v>VC3</v>
      </c>
      <c r="BR39" s="24">
        <v>5.71</v>
      </c>
      <c r="BS39" s="24">
        <v>0.17275280566439699</v>
      </c>
      <c r="BT39" s="26"/>
      <c r="BU39" s="26"/>
      <c r="BV39" s="26"/>
      <c r="BW39" s="26"/>
      <c r="BX39" s="26">
        <v>47</v>
      </c>
      <c r="BY39" s="26">
        <v>43.636200000000002</v>
      </c>
      <c r="BZ39" s="26">
        <v>3.3637999999999977</v>
      </c>
      <c r="CA39" s="26">
        <v>47</v>
      </c>
      <c r="CB39">
        <f>IF(AZ39&lt;&gt;"NA",(10000/AZ39)*(125/365),(10000/BA39)*(125/365))</f>
        <v>5.7077625570776256</v>
      </c>
      <c r="CC39">
        <f>IF(BA39&lt;&gt;"NA",(10000/BA39)*(125/365),(10000/AZ39)*(125/365))</f>
        <v>6.0435132957292499</v>
      </c>
      <c r="CD39">
        <f>AE39/AVERAGE(AZ39,BA39)</f>
        <v>5.1428571428571428E-2</v>
      </c>
      <c r="CE39">
        <f>1.911*IF(AX39&lt;&gt;"NA", AVERAGE(AX39,AY39), AVERAGE(AZ39,BA39))</f>
        <v>1114.75</v>
      </c>
      <c r="CF39">
        <v>15</v>
      </c>
      <c r="CG39" s="27">
        <f>(CF39/N39)/IF(AX39&lt;&gt;"NA", AX39,AY39)</f>
        <v>0.16666666666666666</v>
      </c>
      <c r="CH39">
        <f>CF39/N39</f>
        <v>100</v>
      </c>
    </row>
    <row r="40" spans="1:86" s="24" customFormat="1" ht="15.6" x14ac:dyDescent="0.3">
      <c r="A40">
        <v>39</v>
      </c>
      <c r="B40" s="20" t="s">
        <v>295</v>
      </c>
      <c r="C40" t="s">
        <v>87</v>
      </c>
      <c r="D40" s="24">
        <v>-6.779083</v>
      </c>
      <c r="E40" s="24">
        <v>24.043749999999999</v>
      </c>
      <c r="F40" s="24">
        <v>666</v>
      </c>
      <c r="G40" t="s">
        <v>88</v>
      </c>
      <c r="H40" s="24" t="s">
        <v>135</v>
      </c>
      <c r="I40" t="s">
        <v>90</v>
      </c>
      <c r="J40" s="24" t="s">
        <v>115</v>
      </c>
      <c r="K40" s="24" t="s">
        <v>296</v>
      </c>
      <c r="L40" s="24" t="s">
        <v>94</v>
      </c>
      <c r="M40" s="24">
        <f>1.75</f>
        <v>1.75</v>
      </c>
      <c r="N40" s="24">
        <f>750/10000</f>
        <v>7.4999999999999997E-2</v>
      </c>
      <c r="O40" s="24" t="s">
        <v>296</v>
      </c>
      <c r="P40" s="24" t="s">
        <v>172</v>
      </c>
      <c r="Q40" s="24">
        <v>60</v>
      </c>
      <c r="R40" s="31">
        <v>45228</v>
      </c>
      <c r="S40" s="25" t="s">
        <v>90</v>
      </c>
      <c r="T40" s="24" t="s">
        <v>182</v>
      </c>
      <c r="U40" s="24" t="s">
        <v>180</v>
      </c>
      <c r="V40" s="24" t="s">
        <v>95</v>
      </c>
      <c r="W40" s="24">
        <v>15</v>
      </c>
      <c r="X40" s="24" t="s">
        <v>100</v>
      </c>
      <c r="Y40" s="24" t="s">
        <v>291</v>
      </c>
      <c r="Z40" s="24">
        <v>2</v>
      </c>
      <c r="AA40" t="s">
        <v>282</v>
      </c>
      <c r="AB40" t="s">
        <v>142</v>
      </c>
      <c r="AC40" s="24" t="s">
        <v>100</v>
      </c>
      <c r="AD40" s="24">
        <v>3</v>
      </c>
      <c r="AE40" s="24">
        <f t="shared" si="0"/>
        <v>66.666666666666671</v>
      </c>
      <c r="AF40" s="24" t="s">
        <v>100</v>
      </c>
      <c r="AG40" s="24" t="s">
        <v>101</v>
      </c>
      <c r="AH40" s="24" t="s">
        <v>102</v>
      </c>
      <c r="AI40" s="24" t="s">
        <v>103</v>
      </c>
      <c r="AJ40" s="24" t="s">
        <v>103</v>
      </c>
      <c r="AK40" s="24" t="s">
        <v>103</v>
      </c>
      <c r="AL40" t="s">
        <v>103</v>
      </c>
      <c r="AM40" s="24" t="s">
        <v>103</v>
      </c>
      <c r="AN40" s="24" t="s">
        <v>103</v>
      </c>
      <c r="AO40" s="24" t="s">
        <v>103</v>
      </c>
      <c r="AP40" s="25" t="s">
        <v>90</v>
      </c>
      <c r="AQ40" s="25" t="s">
        <v>90</v>
      </c>
      <c r="AR40" s="24">
        <v>0</v>
      </c>
      <c r="AS40" s="24" t="s">
        <v>100</v>
      </c>
      <c r="AT40" s="24" t="s">
        <v>103</v>
      </c>
      <c r="AU40" s="24" t="s">
        <v>95</v>
      </c>
      <c r="AV40" s="24" t="s">
        <v>185</v>
      </c>
      <c r="AW40" s="24" t="s">
        <v>256</v>
      </c>
      <c r="AX40" s="24" t="s">
        <v>90</v>
      </c>
      <c r="AY40" s="50">
        <f>(16/$N40)</f>
        <v>213.33333333333334</v>
      </c>
      <c r="AZ40" s="24" t="s">
        <v>90</v>
      </c>
      <c r="BA40" s="24">
        <f>AY40+AY40*((100-Q40)/100)</f>
        <v>298.66666666666669</v>
      </c>
      <c r="BB40" s="24">
        <v>805.5</v>
      </c>
      <c r="BC40" s="24">
        <f>BB40+(BB40*Q40)/(100-Q40)</f>
        <v>2013.75</v>
      </c>
      <c r="BD40" s="24" t="s">
        <v>90</v>
      </c>
      <c r="BE40" s="24" t="s">
        <v>90</v>
      </c>
      <c r="BF40" s="24">
        <f>AY40/BA40+BB40/BC40</f>
        <v>1.1142857142857143</v>
      </c>
      <c r="BG40" s="24">
        <f t="shared" si="2"/>
        <v>2500</v>
      </c>
      <c r="BH40" s="25" t="s">
        <v>90</v>
      </c>
      <c r="BI40" s="25" t="s">
        <v>90</v>
      </c>
      <c r="BJ40" s="24" t="s">
        <v>142</v>
      </c>
      <c r="BK40" s="24" t="s">
        <v>101</v>
      </c>
      <c r="BL40" s="24">
        <v>13</v>
      </c>
      <c r="BM40" s="24" t="s">
        <v>258</v>
      </c>
      <c r="BN40" t="s">
        <v>110</v>
      </c>
      <c r="BO40">
        <v>0</v>
      </c>
      <c r="BP40" t="s">
        <v>132</v>
      </c>
      <c r="BQ40" t="str">
        <f>IF(AND(BP40="Not member",G40="KasaiLomami"),"VC3", "VC1 or VC2")</f>
        <v>VC3</v>
      </c>
      <c r="BR40" s="24">
        <v>5.6095734144165998</v>
      </c>
      <c r="BS40" s="24">
        <v>0.14300323487380501</v>
      </c>
      <c r="BT40" s="26"/>
      <c r="BU40" s="26"/>
      <c r="BV40" s="26"/>
      <c r="BW40" s="26"/>
      <c r="BX40" s="26">
        <v>47</v>
      </c>
      <c r="BY40" s="26">
        <v>33.273600000000002</v>
      </c>
      <c r="BZ40" s="26">
        <v>13.726399999999998</v>
      </c>
      <c r="CA40" s="26">
        <v>47</v>
      </c>
      <c r="CB40">
        <f>IF(AZ40&lt;&gt;"NA",(10000/AZ40)*(125/365),(10000/BA40)*(125/365))</f>
        <v>11.466487279843443</v>
      </c>
      <c r="CC40">
        <f>IF(BA40&lt;&gt;"NA",(10000/BA40)*(125/365),(10000/AZ40)*(125/365))</f>
        <v>11.466487279843443</v>
      </c>
      <c r="CD40">
        <f>AE40/AVERAGE(AZ40,BA40)</f>
        <v>0.22321428571428573</v>
      </c>
      <c r="CE40">
        <f>1.911*IF(AX40&lt;&gt;"NA", AVERAGE(AX40,AY40), AVERAGE(AZ40,BA40))</f>
        <v>570.75200000000007</v>
      </c>
      <c r="CF40">
        <v>0</v>
      </c>
      <c r="CG40" s="27">
        <f>(CF40/N40)/IF(AX40&lt;&gt;"NA", AX40,AY40)</f>
        <v>0</v>
      </c>
      <c r="CH40">
        <f>CF40/N40</f>
        <v>0</v>
      </c>
    </row>
    <row r="41" spans="1:86" s="24" customFormat="1" ht="17.100000000000001" customHeight="1" x14ac:dyDescent="0.3">
      <c r="A41">
        <v>40</v>
      </c>
      <c r="B41" s="20" t="s">
        <v>297</v>
      </c>
      <c r="C41" t="s">
        <v>87</v>
      </c>
      <c r="D41">
        <v>-6.7779720000000001</v>
      </c>
      <c r="E41" s="24">
        <v>24.042083000000002</v>
      </c>
      <c r="F41">
        <v>777</v>
      </c>
      <c r="G41" t="s">
        <v>88</v>
      </c>
      <c r="H41" s="24" t="s">
        <v>135</v>
      </c>
      <c r="I41" t="s">
        <v>90</v>
      </c>
      <c r="J41" s="24" t="s">
        <v>115</v>
      </c>
      <c r="K41" t="s">
        <v>180</v>
      </c>
      <c r="L41" s="24" t="s">
        <v>214</v>
      </c>
      <c r="M41">
        <v>1</v>
      </c>
      <c r="N41">
        <f>600/10000</f>
        <v>0.06</v>
      </c>
      <c r="O41" t="s">
        <v>179</v>
      </c>
      <c r="P41" t="s">
        <v>93</v>
      </c>
      <c r="Q41" s="24">
        <v>60</v>
      </c>
      <c r="R41" s="19">
        <v>45172</v>
      </c>
      <c r="S41" s="19" t="s">
        <v>298</v>
      </c>
      <c r="T41" t="s">
        <v>180</v>
      </c>
      <c r="U41" t="s">
        <v>299</v>
      </c>
      <c r="V41" s="24" t="s">
        <v>95</v>
      </c>
      <c r="W41" s="24">
        <v>10</v>
      </c>
      <c r="X41" s="24" t="s">
        <v>100</v>
      </c>
      <c r="Y41" t="s">
        <v>101</v>
      </c>
      <c r="Z41" s="24">
        <v>2</v>
      </c>
      <c r="AA41" t="s">
        <v>282</v>
      </c>
      <c r="AB41" t="s">
        <v>142</v>
      </c>
      <c r="AC41" s="24" t="s">
        <v>100</v>
      </c>
      <c r="AD41">
        <v>4</v>
      </c>
      <c r="AE41" s="24">
        <f t="shared" si="0"/>
        <v>111.11111111111111</v>
      </c>
      <c r="AF41" s="24" t="s">
        <v>100</v>
      </c>
      <c r="AG41" s="24" t="s">
        <v>101</v>
      </c>
      <c r="AH41" s="24" t="s">
        <v>102</v>
      </c>
      <c r="AI41" s="24" t="s">
        <v>103</v>
      </c>
      <c r="AJ41" s="24" t="s">
        <v>103</v>
      </c>
      <c r="AK41" s="24" t="s">
        <v>103</v>
      </c>
      <c r="AL41" t="s">
        <v>103</v>
      </c>
      <c r="AM41" s="24" t="s">
        <v>103</v>
      </c>
      <c r="AN41" s="24" t="s">
        <v>103</v>
      </c>
      <c r="AO41" s="24" t="s">
        <v>103</v>
      </c>
      <c r="AP41" s="25" t="s">
        <v>90</v>
      </c>
      <c r="AQ41" s="25" t="s">
        <v>90</v>
      </c>
      <c r="AR41" s="25" t="s">
        <v>90</v>
      </c>
      <c r="AS41" s="25" t="s">
        <v>90</v>
      </c>
      <c r="AT41" s="25" t="s">
        <v>90</v>
      </c>
      <c r="AU41" s="25" t="s">
        <v>90</v>
      </c>
      <c r="AV41" s="24" t="s">
        <v>185</v>
      </c>
      <c r="AW41" s="24" t="s">
        <v>256</v>
      </c>
      <c r="AX41">
        <f>19/$N41</f>
        <v>316.66666666666669</v>
      </c>
      <c r="AY41" s="50">
        <f>(15/$N41)</f>
        <v>250</v>
      </c>
      <c r="AZ41" s="24">
        <f>AX41+AX41*((100-Q41)/100)</f>
        <v>443.33333333333337</v>
      </c>
      <c r="BA41" s="24">
        <f>AY41+AY41*((100-Q41)/100)</f>
        <v>350</v>
      </c>
      <c r="BB41" s="24">
        <f>(15*4/$N41)</f>
        <v>1000</v>
      </c>
      <c r="BC41" s="24">
        <f>BB41+(BB41*Q41)/(100-Q41)</f>
        <v>2500</v>
      </c>
      <c r="BD41">
        <f>10*4/$N41</f>
        <v>666.66666666666674</v>
      </c>
      <c r="BE41">
        <f>BD41+(BD41*Q41)/(100-Q41)</f>
        <v>1666.666666666667</v>
      </c>
      <c r="BF41" s="24">
        <f>AY41/BA41+BB41/BC41+BD41/BE41</f>
        <v>1.5142857142857142</v>
      </c>
      <c r="BG41" s="24">
        <f t="shared" si="2"/>
        <v>2500</v>
      </c>
      <c r="BH41" s="25" t="s">
        <v>90</v>
      </c>
      <c r="BI41" s="25" t="s">
        <v>90</v>
      </c>
      <c r="BJ41" t="s">
        <v>300</v>
      </c>
      <c r="BK41" s="25" t="s">
        <v>90</v>
      </c>
      <c r="BL41" s="24">
        <v>13</v>
      </c>
      <c r="BM41" s="24" t="s">
        <v>258</v>
      </c>
      <c r="BN41" t="s">
        <v>110</v>
      </c>
      <c r="BO41">
        <v>0</v>
      </c>
      <c r="BP41" t="s">
        <v>132</v>
      </c>
      <c r="BQ41" t="str">
        <f>IF(AND(BP41="Not member",G41="KasaiLomami"),"VC3", "VC1 or VC2")</f>
        <v>VC3</v>
      </c>
      <c r="BR41" s="24">
        <v>5.6485830340573102</v>
      </c>
      <c r="BS41" s="24">
        <v>0.153022153865286</v>
      </c>
      <c r="BT41" s="26"/>
      <c r="BU41" s="26"/>
      <c r="BV41" s="26"/>
      <c r="BW41" s="26"/>
      <c r="BX41" s="26">
        <v>47</v>
      </c>
      <c r="BY41" s="26">
        <v>39.722999999999999</v>
      </c>
      <c r="BZ41" s="26">
        <v>7.277000000000001</v>
      </c>
      <c r="CA41" s="26">
        <v>47</v>
      </c>
      <c r="CB41">
        <f>IF(AZ41&lt;&gt;"NA",(10000/AZ41)*(125/365),(10000/BA41)*(125/365))</f>
        <v>7.7247914306313712</v>
      </c>
      <c r="CC41">
        <f>IF(BA41&lt;&gt;"NA",(10000/BA41)*(125/365),(10000/AZ41)*(125/365))</f>
        <v>9.7847358121330732</v>
      </c>
      <c r="CD41">
        <f>AE41/AVERAGE(AZ41,BA41)</f>
        <v>0.28011204481792717</v>
      </c>
      <c r="CE41">
        <f>1.911*IF(AX41&lt;&gt;"NA", AVERAGE(AX41,AY41), AVERAGE(AZ41,BA41))</f>
        <v>541.45000000000005</v>
      </c>
      <c r="CF41">
        <v>0</v>
      </c>
      <c r="CG41" s="27">
        <f>(CF41/N41)/IF(AX41&lt;&gt;"NA", AX41,AY41)</f>
        <v>0</v>
      </c>
      <c r="CH41">
        <f>CF41/N41</f>
        <v>0</v>
      </c>
    </row>
    <row r="42" spans="1:86" s="24" customFormat="1" ht="14.7" customHeight="1" x14ac:dyDescent="0.3">
      <c r="A42">
        <v>41</v>
      </c>
      <c r="B42" s="20" t="s">
        <v>301</v>
      </c>
      <c r="C42" t="s">
        <v>134</v>
      </c>
      <c r="D42">
        <v>-6.8089170000000001</v>
      </c>
      <c r="E42" s="24">
        <v>23.939</v>
      </c>
      <c r="F42">
        <v>741</v>
      </c>
      <c r="G42" t="s">
        <v>88</v>
      </c>
      <c r="H42" s="24" t="s">
        <v>135</v>
      </c>
      <c r="I42" t="s">
        <v>90</v>
      </c>
      <c r="J42" s="24" t="s">
        <v>115</v>
      </c>
      <c r="K42" t="s">
        <v>180</v>
      </c>
      <c r="L42" s="24" t="s">
        <v>302</v>
      </c>
      <c r="M42">
        <v>1.75</v>
      </c>
      <c r="N42">
        <f>2500/10000</f>
        <v>0.25</v>
      </c>
      <c r="O42" t="s">
        <v>303</v>
      </c>
      <c r="P42" t="s">
        <v>296</v>
      </c>
      <c r="Q42" s="24">
        <v>70</v>
      </c>
      <c r="R42" s="19">
        <v>45180</v>
      </c>
      <c r="S42" s="19">
        <v>45344</v>
      </c>
      <c r="T42" t="s">
        <v>180</v>
      </c>
      <c r="U42" t="s">
        <v>304</v>
      </c>
      <c r="V42" s="24" t="s">
        <v>95</v>
      </c>
      <c r="W42" s="24">
        <v>10</v>
      </c>
      <c r="X42" s="24" t="s">
        <v>100</v>
      </c>
      <c r="Y42" t="s">
        <v>101</v>
      </c>
      <c r="Z42" s="24">
        <v>2</v>
      </c>
      <c r="AA42" t="s">
        <v>282</v>
      </c>
      <c r="AB42" t="s">
        <v>142</v>
      </c>
      <c r="AC42" s="24" t="s">
        <v>100</v>
      </c>
      <c r="AD42">
        <v>20</v>
      </c>
      <c r="AE42" s="24">
        <f t="shared" si="0"/>
        <v>114.28571428571429</v>
      </c>
      <c r="AF42" s="24" t="s">
        <v>100</v>
      </c>
      <c r="AG42" s="24" t="s">
        <v>101</v>
      </c>
      <c r="AH42" s="24" t="s">
        <v>102</v>
      </c>
      <c r="AI42" s="24" t="s">
        <v>103</v>
      </c>
      <c r="AJ42" s="24" t="s">
        <v>103</v>
      </c>
      <c r="AK42" s="24" t="s">
        <v>103</v>
      </c>
      <c r="AL42" t="s">
        <v>103</v>
      </c>
      <c r="AM42" s="24" t="s">
        <v>103</v>
      </c>
      <c r="AN42" s="24" t="s">
        <v>103</v>
      </c>
      <c r="AO42" s="24" t="s">
        <v>103</v>
      </c>
      <c r="AP42" s="25" t="s">
        <v>90</v>
      </c>
      <c r="AQ42" s="25" t="s">
        <v>90</v>
      </c>
      <c r="AR42" s="25" t="s">
        <v>90</v>
      </c>
      <c r="AS42" s="25" t="s">
        <v>90</v>
      </c>
      <c r="AT42" s="25" t="s">
        <v>90</v>
      </c>
      <c r="AU42" s="25" t="s">
        <v>90</v>
      </c>
      <c r="AV42" s="24" t="s">
        <v>185</v>
      </c>
      <c r="AW42" s="24" t="s">
        <v>256</v>
      </c>
      <c r="AX42" s="24" t="s">
        <v>90</v>
      </c>
      <c r="AY42" s="50">
        <f>132/$N42</f>
        <v>528</v>
      </c>
      <c r="AZ42" s="24" t="s">
        <v>90</v>
      </c>
      <c r="BA42" s="24">
        <f>AY42+AY42*((100-Q42)/100)</f>
        <v>686.4</v>
      </c>
      <c r="BB42" s="24">
        <v>240.5</v>
      </c>
      <c r="BC42" s="24">
        <f>BB42+(BB42*Q42)/(100-Q42)</f>
        <v>801.66666666666663</v>
      </c>
      <c r="BD42" s="24" t="s">
        <v>90</v>
      </c>
      <c r="BE42" s="24" t="s">
        <v>90</v>
      </c>
      <c r="BF42" s="24">
        <f>AY42/BA42+BB42/BC42</f>
        <v>1.0692307692307692</v>
      </c>
      <c r="BG42" s="24">
        <f t="shared" si="2"/>
        <v>2500</v>
      </c>
      <c r="BH42" s="25" t="s">
        <v>90</v>
      </c>
      <c r="BI42" s="25" t="s">
        <v>90</v>
      </c>
      <c r="BJ42" t="s">
        <v>305</v>
      </c>
      <c r="BK42" s="25" t="s">
        <v>90</v>
      </c>
      <c r="BL42" s="24">
        <v>13</v>
      </c>
      <c r="BM42" s="24" t="s">
        <v>258</v>
      </c>
      <c r="BN42" t="s">
        <v>110</v>
      </c>
      <c r="BO42">
        <v>0</v>
      </c>
      <c r="BP42" t="s">
        <v>132</v>
      </c>
      <c r="BQ42" t="str">
        <f>IF(AND(BP42="Not member",G42="KasaiLomami"),"VC3", "VC1 or VC2")</f>
        <v>VC3</v>
      </c>
      <c r="BR42" s="24">
        <v>5.7011001264501697</v>
      </c>
      <c r="BS42" s="24">
        <v>0.175431466404217</v>
      </c>
      <c r="BT42" s="26"/>
      <c r="BU42" s="26"/>
      <c r="BV42" s="26"/>
      <c r="BW42" s="26"/>
      <c r="BX42" s="26">
        <v>47</v>
      </c>
      <c r="BY42" s="26">
        <v>51.009600000000006</v>
      </c>
      <c r="BZ42" s="26">
        <v>-4.009600000000006</v>
      </c>
      <c r="CA42" s="26">
        <v>47</v>
      </c>
      <c r="CB42">
        <f>IF(AZ42&lt;&gt;"NA",(10000/AZ42)*(125/365),(10000/BA42)*(125/365))</f>
        <v>4.9893029345084141</v>
      </c>
      <c r="CC42">
        <f>IF(BA42&lt;&gt;"NA",(10000/BA42)*(125/365),(10000/AZ42)*(125/365))</f>
        <v>4.9893029345084141</v>
      </c>
      <c r="CD42">
        <f>AE42/AVERAGE(AZ42,BA42)</f>
        <v>0.16650016650016652</v>
      </c>
      <c r="CE42">
        <f>1.911*IF(AX42&lt;&gt;"NA", AVERAGE(AX42,AY42), AVERAGE(AZ42,BA42))</f>
        <v>1311.7103999999999</v>
      </c>
      <c r="CF42">
        <v>0</v>
      </c>
      <c r="CG42" s="27">
        <f>(CF42/N42)/IF(AX42&lt;&gt;"NA", AX42,AY42)</f>
        <v>0</v>
      </c>
      <c r="CH42">
        <f>CF42/N42</f>
        <v>0</v>
      </c>
    </row>
    <row r="43" spans="1:86" s="24" customFormat="1" ht="15.6" customHeight="1" x14ac:dyDescent="0.3">
      <c r="A43">
        <v>42</v>
      </c>
      <c r="B43" s="24" t="s">
        <v>306</v>
      </c>
      <c r="C43" t="s">
        <v>134</v>
      </c>
      <c r="D43">
        <v>-6.365056</v>
      </c>
      <c r="E43" s="24">
        <v>23.822139</v>
      </c>
      <c r="F43">
        <v>592</v>
      </c>
      <c r="G43" t="s">
        <v>88</v>
      </c>
      <c r="H43" s="24" t="s">
        <v>89</v>
      </c>
      <c r="I43" t="s">
        <v>90</v>
      </c>
      <c r="J43" s="24" t="s">
        <v>115</v>
      </c>
      <c r="K43" t="s">
        <v>307</v>
      </c>
      <c r="L43" s="24" t="s">
        <v>92</v>
      </c>
      <c r="M43">
        <f>50*40/10000</f>
        <v>0.2</v>
      </c>
      <c r="N43">
        <f>400/10000</f>
        <v>0.04</v>
      </c>
      <c r="O43" t="s">
        <v>92</v>
      </c>
      <c r="P43" t="s">
        <v>308</v>
      </c>
      <c r="Q43" s="24">
        <v>100</v>
      </c>
      <c r="R43" s="19">
        <v>45195</v>
      </c>
      <c r="S43" s="19" t="s">
        <v>298</v>
      </c>
      <c r="T43" s="24" t="s">
        <v>182</v>
      </c>
      <c r="U43" t="s">
        <v>309</v>
      </c>
      <c r="V43" s="24" t="s">
        <v>95</v>
      </c>
      <c r="W43" s="24">
        <v>10</v>
      </c>
      <c r="X43" s="24" t="s">
        <v>100</v>
      </c>
      <c r="Y43" t="s">
        <v>101</v>
      </c>
      <c r="Z43" s="24">
        <v>2</v>
      </c>
      <c r="AA43" t="s">
        <v>282</v>
      </c>
      <c r="AB43" t="s">
        <v>142</v>
      </c>
      <c r="AC43" s="24" t="s">
        <v>100</v>
      </c>
      <c r="AD43">
        <v>4</v>
      </c>
      <c r="AE43" s="24">
        <f t="shared" si="0"/>
        <v>100</v>
      </c>
      <c r="AF43" s="24" t="s">
        <v>100</v>
      </c>
      <c r="AG43" s="24" t="s">
        <v>101</v>
      </c>
      <c r="AH43" s="24" t="s">
        <v>102</v>
      </c>
      <c r="AI43" s="24" t="s">
        <v>103</v>
      </c>
      <c r="AJ43" s="24" t="s">
        <v>103</v>
      </c>
      <c r="AK43" s="24" t="s">
        <v>103</v>
      </c>
      <c r="AL43" t="s">
        <v>103</v>
      </c>
      <c r="AM43" s="24" t="s">
        <v>103</v>
      </c>
      <c r="AN43" s="24" t="s">
        <v>103</v>
      </c>
      <c r="AO43" s="24" t="s">
        <v>103</v>
      </c>
      <c r="AP43" s="25" t="s">
        <v>90</v>
      </c>
      <c r="AQ43" s="25" t="s">
        <v>90</v>
      </c>
      <c r="AR43" s="25" t="s">
        <v>90</v>
      </c>
      <c r="AS43" s="25" t="s">
        <v>90</v>
      </c>
      <c r="AT43" s="25" t="s">
        <v>90</v>
      </c>
      <c r="AU43" s="25" t="s">
        <v>90</v>
      </c>
      <c r="AV43" s="24" t="s">
        <v>185</v>
      </c>
      <c r="AW43" s="24" t="s">
        <v>256</v>
      </c>
      <c r="AX43" s="24">
        <v>1495</v>
      </c>
      <c r="AY43" s="50">
        <f>34/$N43</f>
        <v>850</v>
      </c>
      <c r="AZ43" s="24" t="s">
        <v>90</v>
      </c>
      <c r="BA43" s="24">
        <f>AY43+AY43*((100-Q43)/100)</f>
        <v>850</v>
      </c>
      <c r="BB43" t="s">
        <v>90</v>
      </c>
      <c r="BC43" t="s">
        <v>90</v>
      </c>
      <c r="BD43" t="s">
        <v>90</v>
      </c>
      <c r="BE43" t="s">
        <v>90</v>
      </c>
      <c r="BF43">
        <v>1</v>
      </c>
      <c r="BG43" s="24">
        <f>12000/4</f>
        <v>3000</v>
      </c>
      <c r="BH43" s="24" t="s">
        <v>90</v>
      </c>
      <c r="BI43" s="24" t="s">
        <v>90</v>
      </c>
      <c r="BJ43" t="s">
        <v>305</v>
      </c>
      <c r="BK43" s="25" t="s">
        <v>90</v>
      </c>
      <c r="BL43" s="24">
        <v>13</v>
      </c>
      <c r="BM43" s="24" t="s">
        <v>258</v>
      </c>
      <c r="BN43" t="s">
        <v>110</v>
      </c>
      <c r="BO43">
        <v>1</v>
      </c>
      <c r="BP43" t="s">
        <v>127</v>
      </c>
      <c r="BQ43" t="s">
        <v>112</v>
      </c>
      <c r="BR43" s="24">
        <v>6.12</v>
      </c>
      <c r="BS43" s="24">
        <v>0.19594917251152699</v>
      </c>
      <c r="BT43" s="26"/>
      <c r="BU43" s="26"/>
      <c r="BV43" s="26"/>
      <c r="BW43" s="26"/>
      <c r="BX43" s="26">
        <v>47</v>
      </c>
      <c r="BY43" s="26">
        <v>60.090029999999999</v>
      </c>
      <c r="BZ43" s="26">
        <v>-13.090029999999999</v>
      </c>
      <c r="CA43" s="26">
        <v>47</v>
      </c>
      <c r="CB43">
        <f>IF(AZ43&lt;&gt;"NA",(10000/AZ43)*(125/365),(10000/BA43)*(125/365))</f>
        <v>4.0290088638195005</v>
      </c>
      <c r="CC43">
        <f>IF(BA43&lt;&gt;"NA",(10000/BA43)*(125/365),(10000/AZ43)*(125/365))</f>
        <v>4.0290088638195005</v>
      </c>
      <c r="CD43">
        <f>AE43/AVERAGE(AZ43,BA43)</f>
        <v>0.11764705882352941</v>
      </c>
      <c r="CE43">
        <f>1.911*IF(AX43&lt;&gt;"NA", AVERAGE(AX43,AY43), AVERAGE(AZ43,BA43))</f>
        <v>2240.6475</v>
      </c>
      <c r="CF43">
        <v>20</v>
      </c>
      <c r="CG43" s="27">
        <f>(CF43/N43)/IF(AX43&lt;&gt;"NA", AX43,AY43)</f>
        <v>0.33444816053511706</v>
      </c>
      <c r="CH43">
        <f>CF43/N43</f>
        <v>500</v>
      </c>
    </row>
    <row r="44" spans="1:86" s="24" customFormat="1" ht="15.6" customHeight="1" x14ac:dyDescent="0.3">
      <c r="A44">
        <v>43</v>
      </c>
      <c r="B44" s="24" t="s">
        <v>310</v>
      </c>
      <c r="C44" t="s">
        <v>134</v>
      </c>
      <c r="D44">
        <v>-6.3382500000000004</v>
      </c>
      <c r="E44" s="24">
        <v>23.821639000000001</v>
      </c>
      <c r="F44">
        <v>615</v>
      </c>
      <c r="G44" t="s">
        <v>88</v>
      </c>
      <c r="H44" s="24" t="s">
        <v>89</v>
      </c>
      <c r="I44" t="s">
        <v>90</v>
      </c>
      <c r="J44" s="24" t="s">
        <v>115</v>
      </c>
      <c r="K44" t="s">
        <v>311</v>
      </c>
      <c r="L44" s="24" t="s">
        <v>92</v>
      </c>
      <c r="M44">
        <v>2</v>
      </c>
      <c r="N44">
        <f>50*30/10000</f>
        <v>0.15</v>
      </c>
      <c r="O44" t="s">
        <v>92</v>
      </c>
      <c r="P44" t="s">
        <v>308</v>
      </c>
      <c r="Q44" s="24">
        <v>100</v>
      </c>
      <c r="R44" s="19">
        <v>45203</v>
      </c>
      <c r="S44" s="19">
        <v>45303</v>
      </c>
      <c r="T44" s="24" t="s">
        <v>182</v>
      </c>
      <c r="U44" t="s">
        <v>312</v>
      </c>
      <c r="V44" s="24" t="s">
        <v>95</v>
      </c>
      <c r="W44" s="24">
        <v>10</v>
      </c>
      <c r="X44" s="24" t="s">
        <v>100</v>
      </c>
      <c r="Y44" t="s">
        <v>101</v>
      </c>
      <c r="Z44" s="24">
        <v>2</v>
      </c>
      <c r="AA44" t="s">
        <v>282</v>
      </c>
      <c r="AB44" t="s">
        <v>142</v>
      </c>
      <c r="AC44" s="24" t="s">
        <v>100</v>
      </c>
      <c r="AD44">
        <v>6.5</v>
      </c>
      <c r="AE44" s="24">
        <f t="shared" si="0"/>
        <v>43.333333333333336</v>
      </c>
      <c r="AF44" s="24" t="s">
        <v>100</v>
      </c>
      <c r="AG44" s="24" t="s">
        <v>101</v>
      </c>
      <c r="AH44" s="24" t="s">
        <v>102</v>
      </c>
      <c r="AI44" s="24" t="s">
        <v>103</v>
      </c>
      <c r="AJ44" s="24" t="s">
        <v>103</v>
      </c>
      <c r="AK44" s="24" t="s">
        <v>103</v>
      </c>
      <c r="AL44" t="s">
        <v>103</v>
      </c>
      <c r="AM44" s="24" t="s">
        <v>103</v>
      </c>
      <c r="AN44" s="24" t="s">
        <v>103</v>
      </c>
      <c r="AO44" s="24" t="s">
        <v>103</v>
      </c>
      <c r="AP44" s="25" t="s">
        <v>90</v>
      </c>
      <c r="AQ44" s="25" t="s">
        <v>90</v>
      </c>
      <c r="AR44" s="25" t="s">
        <v>90</v>
      </c>
      <c r="AS44" s="25" t="s">
        <v>90</v>
      </c>
      <c r="AT44" s="25" t="s">
        <v>90</v>
      </c>
      <c r="AU44" s="25" t="s">
        <v>90</v>
      </c>
      <c r="AV44" s="24" t="s">
        <v>185</v>
      </c>
      <c r="AW44" s="24" t="s">
        <v>256</v>
      </c>
      <c r="AX44" s="24">
        <v>772</v>
      </c>
      <c r="AY44" s="50">
        <f>68/$N44</f>
        <v>453.33333333333337</v>
      </c>
      <c r="AZ44" s="24" t="s">
        <v>90</v>
      </c>
      <c r="BA44" s="24">
        <f>AY44+AY44*((100-Q44)/100)</f>
        <v>453.33333333333337</v>
      </c>
      <c r="BB44" t="s">
        <v>90</v>
      </c>
      <c r="BC44" t="s">
        <v>90</v>
      </c>
      <c r="BD44" t="s">
        <v>90</v>
      </c>
      <c r="BE44" t="s">
        <v>90</v>
      </c>
      <c r="BF44">
        <v>1</v>
      </c>
      <c r="BG44" s="24">
        <f>12000/4</f>
        <v>3000</v>
      </c>
      <c r="BH44" s="24" t="s">
        <v>90</v>
      </c>
      <c r="BI44" s="24" t="s">
        <v>90</v>
      </c>
      <c r="BJ44" t="s">
        <v>305</v>
      </c>
      <c r="BK44" s="25" t="s">
        <v>90</v>
      </c>
      <c r="BL44" s="24">
        <v>13</v>
      </c>
      <c r="BM44" s="24" t="s">
        <v>258</v>
      </c>
      <c r="BN44" t="s">
        <v>110</v>
      </c>
      <c r="BO44">
        <v>1</v>
      </c>
      <c r="BP44" t="s">
        <v>127</v>
      </c>
      <c r="BQ44" t="s">
        <v>112</v>
      </c>
      <c r="BR44" s="24">
        <v>5.6372565898249398</v>
      </c>
      <c r="BS44" s="24">
        <v>0.17574746217801501</v>
      </c>
      <c r="BT44" s="26"/>
      <c r="BU44" s="26"/>
      <c r="BV44" s="26"/>
      <c r="BW44" s="26"/>
      <c r="BX44" s="26">
        <v>47</v>
      </c>
      <c r="BY44" s="26">
        <v>26.66985</v>
      </c>
      <c r="BZ44" s="26">
        <v>20.33015</v>
      </c>
      <c r="CA44" s="26">
        <v>47</v>
      </c>
      <c r="CB44">
        <f>IF(AZ44&lt;&gt;"NA",(10000/AZ44)*(125/365),(10000/BA44)*(125/365))</f>
        <v>7.5543916196615628</v>
      </c>
      <c r="CC44">
        <f>IF(BA44&lt;&gt;"NA",(10000/BA44)*(125/365),(10000/AZ44)*(125/365))</f>
        <v>7.5543916196615628</v>
      </c>
      <c r="CD44">
        <f>AE44/AVERAGE(AZ44,BA44)</f>
        <v>9.5588235294117641E-2</v>
      </c>
      <c r="CE44">
        <f>1.911*IF(AX44&lt;&gt;"NA", AVERAGE(AX44,AY44), AVERAGE(AZ44,BA44))</f>
        <v>1170.8060000000003</v>
      </c>
      <c r="CF44">
        <v>0</v>
      </c>
      <c r="CG44" s="27">
        <f>(CF44/N44)/IF(AX44&lt;&gt;"NA", AX44,AY44)</f>
        <v>0</v>
      </c>
      <c r="CH44">
        <f>CF44/N44</f>
        <v>0</v>
      </c>
    </row>
    <row r="45" spans="1:86" ht="15.6" x14ac:dyDescent="0.3">
      <c r="A45">
        <v>44</v>
      </c>
      <c r="B45" s="20" t="s">
        <v>313</v>
      </c>
      <c r="C45" t="s">
        <v>134</v>
      </c>
      <c r="D45" s="32">
        <v>-6.7797090000000004</v>
      </c>
      <c r="E45" s="33">
        <v>24.252393999999999</v>
      </c>
      <c r="F45">
        <v>690</v>
      </c>
      <c r="G45" t="s">
        <v>88</v>
      </c>
      <c r="H45" t="s">
        <v>835</v>
      </c>
      <c r="I45">
        <v>45</v>
      </c>
      <c r="J45" t="s">
        <v>115</v>
      </c>
      <c r="K45" t="s">
        <v>116</v>
      </c>
      <c r="L45" t="s">
        <v>116</v>
      </c>
      <c r="M45">
        <v>0.25</v>
      </c>
      <c r="N45">
        <v>0.25</v>
      </c>
      <c r="O45" t="s">
        <v>172</v>
      </c>
      <c r="P45" t="s">
        <v>93</v>
      </c>
      <c r="Q45">
        <v>60</v>
      </c>
      <c r="R45" s="19">
        <v>44811</v>
      </c>
      <c r="S45" s="19">
        <v>44938</v>
      </c>
      <c r="T45" t="s">
        <v>182</v>
      </c>
      <c r="U45" t="s">
        <v>182</v>
      </c>
      <c r="V45" t="s">
        <v>95</v>
      </c>
      <c r="W45">
        <v>15</v>
      </c>
      <c r="X45" t="s">
        <v>100</v>
      </c>
      <c r="Y45" t="s">
        <v>97</v>
      </c>
      <c r="Z45" s="25">
        <v>2</v>
      </c>
      <c r="AA45" t="s">
        <v>98</v>
      </c>
      <c r="AB45" t="s">
        <v>99</v>
      </c>
      <c r="AC45" t="s">
        <v>100</v>
      </c>
      <c r="AD45">
        <v>12</v>
      </c>
      <c r="AE45" s="24">
        <f t="shared" si="0"/>
        <v>80</v>
      </c>
      <c r="AF45" t="s">
        <v>100</v>
      </c>
      <c r="AG45" t="s">
        <v>101</v>
      </c>
      <c r="AH45" t="s">
        <v>102</v>
      </c>
      <c r="AI45" s="24" t="s">
        <v>103</v>
      </c>
      <c r="AJ45" t="s">
        <v>103</v>
      </c>
      <c r="AK45" t="s">
        <v>103</v>
      </c>
      <c r="AL45" t="s">
        <v>103</v>
      </c>
      <c r="AM45" t="s">
        <v>103</v>
      </c>
      <c r="AN45" t="s">
        <v>103</v>
      </c>
      <c r="AO45" t="s">
        <v>103</v>
      </c>
      <c r="AP45" s="25" t="s">
        <v>90</v>
      </c>
      <c r="AQ45" t="s">
        <v>161</v>
      </c>
      <c r="AR45" t="s">
        <v>260</v>
      </c>
      <c r="AS45" t="s">
        <v>100</v>
      </c>
      <c r="AT45" t="s">
        <v>103</v>
      </c>
      <c r="AU45" t="s">
        <v>95</v>
      </c>
      <c r="AV45" t="s">
        <v>185</v>
      </c>
      <c r="AW45" t="s">
        <v>256</v>
      </c>
      <c r="AX45">
        <f>70*4/$N45</f>
        <v>1120</v>
      </c>
      <c r="AY45" s="50">
        <f>50*4/$N45</f>
        <v>800</v>
      </c>
      <c r="AZ45">
        <f>AX45+AX45*((100-Q45)/100)</f>
        <v>1568</v>
      </c>
      <c r="BA45">
        <f>AY45+AY45*((100-Q45)/100)</f>
        <v>1120</v>
      </c>
      <c r="BB45" t="s">
        <v>90</v>
      </c>
      <c r="BC45" t="s">
        <v>90</v>
      </c>
      <c r="BD45">
        <f>120/$N45</f>
        <v>480</v>
      </c>
      <c r="BE45">
        <f>BD45+(BD45*Q45)/(100-Q45)</f>
        <v>1200</v>
      </c>
      <c r="BF45">
        <f>AX45/AZ45+AY45/BA45+BD45/BE45</f>
        <v>1.8285714285714287</v>
      </c>
      <c r="BG45">
        <f>7000/4</f>
        <v>1750</v>
      </c>
      <c r="BH45">
        <v>875</v>
      </c>
      <c r="BI45" t="s">
        <v>90</v>
      </c>
      <c r="BJ45" t="s">
        <v>187</v>
      </c>
      <c r="BK45" t="s">
        <v>188</v>
      </c>
      <c r="BL45">
        <v>13</v>
      </c>
      <c r="BM45" t="s">
        <v>109</v>
      </c>
      <c r="BN45" t="s">
        <v>110</v>
      </c>
      <c r="BO45">
        <v>0</v>
      </c>
      <c r="BP45" t="s">
        <v>132</v>
      </c>
      <c r="BQ45" t="str">
        <f>IF(AND(BP45="Not member",G45="KasaiLomami"),"VC3", "VC1 or VC2")</f>
        <v>VC3</v>
      </c>
      <c r="BR45" s="24">
        <v>5.81</v>
      </c>
      <c r="BS45" s="24">
        <v>0.20339738479637501</v>
      </c>
      <c r="BT45" s="26"/>
      <c r="BU45" s="26"/>
      <c r="BV45" s="26"/>
      <c r="BW45" s="26"/>
      <c r="BX45" s="26">
        <v>47</v>
      </c>
      <c r="BY45" s="26">
        <v>36.000599999999999</v>
      </c>
      <c r="BZ45" s="26">
        <v>10.999400000000001</v>
      </c>
      <c r="CA45" s="26">
        <v>47</v>
      </c>
      <c r="CB45">
        <f>IF(AZ45&lt;&gt;"NA",(10000/AZ45)*(125/365),(10000/BA45)*(125/365))</f>
        <v>2.1840928152082753</v>
      </c>
      <c r="CC45">
        <f>IF(BA45&lt;&gt;"NA",(10000/BA45)*(125/365),(10000/AZ45)*(125/365))</f>
        <v>3.0577299412915853</v>
      </c>
      <c r="CD45">
        <f>AE45/AVERAGE(AZ45,BA45)</f>
        <v>5.9523809523809521E-2</v>
      </c>
      <c r="CE45">
        <f>1.911*IF(AX45&lt;&gt;"NA", AVERAGE(AX45,AY45), AVERAGE(AZ45,BA45))</f>
        <v>1834.56</v>
      </c>
      <c r="CF45">
        <v>20</v>
      </c>
      <c r="CG45" s="27">
        <f>(CF45/N45)/IF(AX45&lt;&gt;"NA", AX45,AY45)</f>
        <v>7.1428571428571425E-2</v>
      </c>
      <c r="CH45">
        <f>CF45/N45</f>
        <v>80</v>
      </c>
    </row>
    <row r="46" spans="1:86" ht="15.6" x14ac:dyDescent="0.3">
      <c r="A46">
        <v>45</v>
      </c>
      <c r="B46" s="20" t="s">
        <v>314</v>
      </c>
      <c r="C46" t="s">
        <v>134</v>
      </c>
      <c r="D46" s="32">
        <v>-6.7734189999999996</v>
      </c>
      <c r="E46" s="32">
        <v>24.219225000000002</v>
      </c>
      <c r="F46">
        <v>670</v>
      </c>
      <c r="G46" t="s">
        <v>88</v>
      </c>
      <c r="H46" t="s">
        <v>835</v>
      </c>
      <c r="I46" t="s">
        <v>90</v>
      </c>
      <c r="J46" t="s">
        <v>115</v>
      </c>
      <c r="K46" t="s">
        <v>116</v>
      </c>
      <c r="L46" t="s">
        <v>182</v>
      </c>
      <c r="M46">
        <v>2</v>
      </c>
      <c r="N46">
        <v>0.2</v>
      </c>
      <c r="O46" t="s">
        <v>303</v>
      </c>
      <c r="P46" t="s">
        <v>172</v>
      </c>
      <c r="Q46">
        <v>65</v>
      </c>
      <c r="R46" s="19">
        <v>45218</v>
      </c>
      <c r="S46" s="30" t="s">
        <v>90</v>
      </c>
      <c r="T46" t="s">
        <v>268</v>
      </c>
      <c r="U46" t="s">
        <v>182</v>
      </c>
      <c r="V46" t="s">
        <v>95</v>
      </c>
      <c r="W46">
        <v>15</v>
      </c>
      <c r="X46" t="s">
        <v>100</v>
      </c>
      <c r="Y46" t="s">
        <v>97</v>
      </c>
      <c r="Z46">
        <v>1</v>
      </c>
      <c r="AA46" t="s">
        <v>98</v>
      </c>
      <c r="AB46" t="s">
        <v>142</v>
      </c>
      <c r="AC46" t="s">
        <v>100</v>
      </c>
      <c r="AD46">
        <v>4.5</v>
      </c>
      <c r="AE46" s="24">
        <f t="shared" si="0"/>
        <v>34.615384615384613</v>
      </c>
      <c r="AF46" t="s">
        <v>100</v>
      </c>
      <c r="AG46" t="s">
        <v>101</v>
      </c>
      <c r="AH46" t="s">
        <v>237</v>
      </c>
      <c r="AI46" s="24" t="s">
        <v>103</v>
      </c>
      <c r="AJ46" t="s">
        <v>103</v>
      </c>
      <c r="AK46" t="s">
        <v>103</v>
      </c>
      <c r="AL46" t="s">
        <v>103</v>
      </c>
      <c r="AM46" t="s">
        <v>103</v>
      </c>
      <c r="AN46" t="s">
        <v>103</v>
      </c>
      <c r="AO46" t="s">
        <v>103</v>
      </c>
      <c r="AP46" s="25" t="s">
        <v>90</v>
      </c>
      <c r="AQ46" s="25" t="s">
        <v>90</v>
      </c>
      <c r="AR46">
        <v>0</v>
      </c>
      <c r="AS46" t="s">
        <v>100</v>
      </c>
      <c r="AT46" t="s">
        <v>103</v>
      </c>
      <c r="AU46" t="s">
        <v>95</v>
      </c>
      <c r="AV46" t="s">
        <v>185</v>
      </c>
      <c r="AW46" t="s">
        <v>256</v>
      </c>
      <c r="AX46">
        <f>25*4/$N46</f>
        <v>500</v>
      </c>
      <c r="AY46" s="50">
        <f>20*4/$N46</f>
        <v>400</v>
      </c>
      <c r="AZ46">
        <f>AX46+AX46*((100-Q46)/100)</f>
        <v>675</v>
      </c>
      <c r="BA46" t="s">
        <v>90</v>
      </c>
      <c r="BB46" t="s">
        <v>90</v>
      </c>
      <c r="BC46" t="s">
        <v>90</v>
      </c>
      <c r="BD46">
        <f>100/$N46</f>
        <v>500</v>
      </c>
      <c r="BE46">
        <f>BD46+(BD46*Q46)/(100-Q46)</f>
        <v>1428.5714285714284</v>
      </c>
      <c r="BF46">
        <f>AX46/AZ46+BD46/BE46</f>
        <v>1.0907407407407408</v>
      </c>
      <c r="BG46">
        <f>7000/4</f>
        <v>1750</v>
      </c>
      <c r="BH46">
        <v>1200</v>
      </c>
      <c r="BI46" t="s">
        <v>90</v>
      </c>
      <c r="BJ46" t="s">
        <v>142</v>
      </c>
      <c r="BK46" t="s">
        <v>101</v>
      </c>
      <c r="BL46">
        <v>13</v>
      </c>
      <c r="BM46" t="s">
        <v>109</v>
      </c>
      <c r="BN46" t="s">
        <v>110</v>
      </c>
      <c r="BO46">
        <v>0</v>
      </c>
      <c r="BP46" t="s">
        <v>132</v>
      </c>
      <c r="BQ46" t="str">
        <f>IF(AND(BP46="Not member",G46="KasaiLomami"),"VC3", "VC1 or VC2")</f>
        <v>VC3</v>
      </c>
      <c r="BR46" s="24">
        <v>4.9989999999999997</v>
      </c>
      <c r="BS46" s="24">
        <v>0.17294435505733899</v>
      </c>
      <c r="BT46" s="26"/>
      <c r="BU46" s="26"/>
      <c r="BV46" s="26"/>
      <c r="BW46" s="26"/>
      <c r="BX46" s="26">
        <v>47</v>
      </c>
      <c r="BY46" s="26">
        <v>34.332000000000001</v>
      </c>
      <c r="BZ46" s="26">
        <v>12.667999999999999</v>
      </c>
      <c r="CA46" s="26">
        <v>47</v>
      </c>
      <c r="CB46">
        <f>IF(AZ46&lt;&gt;"NA",(10000/AZ46)*(125/365),(10000/BA46)*(125/365))</f>
        <v>5.0735667174023336</v>
      </c>
      <c r="CC46">
        <f>IF(BA46&lt;&gt;"NA",(10000/BA46)*(125/365),(10000/AZ46)*(125/365))</f>
        <v>5.0735667174023336</v>
      </c>
      <c r="CD46">
        <f>AE46/AVERAGE(AZ46,BA46)</f>
        <v>5.128205128205128E-2</v>
      </c>
      <c r="CE46">
        <f>1.911*IF(AX46&lt;&gt;"NA", AVERAGE(AX46,AY46), AVERAGE(AZ46,BA46))</f>
        <v>859.95</v>
      </c>
      <c r="CF46">
        <v>0</v>
      </c>
      <c r="CG46" s="27">
        <f>(CF46/N46)/IF(AX46&lt;&gt;"NA", AX46,AY46)</f>
        <v>0</v>
      </c>
      <c r="CH46">
        <f>CF46/N46</f>
        <v>0</v>
      </c>
    </row>
    <row r="47" spans="1:86" s="24" customFormat="1" ht="15" customHeight="1" x14ac:dyDescent="0.3">
      <c r="A47">
        <v>46</v>
      </c>
      <c r="B47" s="20" t="s">
        <v>315</v>
      </c>
      <c r="C47" t="s">
        <v>134</v>
      </c>
      <c r="D47" s="32">
        <v>-6.7705489999999999</v>
      </c>
      <c r="E47" s="32">
        <v>24.201898</v>
      </c>
      <c r="F47">
        <v>668</v>
      </c>
      <c r="G47" t="s">
        <v>88</v>
      </c>
      <c r="H47" t="s">
        <v>835</v>
      </c>
      <c r="I47">
        <v>30</v>
      </c>
      <c r="J47" s="24" t="s">
        <v>115</v>
      </c>
      <c r="K47" s="24" t="s">
        <v>92</v>
      </c>
      <c r="L47" s="24" t="s">
        <v>273</v>
      </c>
      <c r="M47" s="24">
        <v>1.5</v>
      </c>
      <c r="N47" s="24">
        <v>0.15</v>
      </c>
      <c r="O47" t="s">
        <v>92</v>
      </c>
      <c r="P47" s="24" t="s">
        <v>172</v>
      </c>
      <c r="Q47" s="24">
        <v>100</v>
      </c>
      <c r="R47" s="31">
        <v>45204</v>
      </c>
      <c r="S47" s="25" t="s">
        <v>90</v>
      </c>
      <c r="T47" s="24" t="s">
        <v>182</v>
      </c>
      <c r="U47" s="24" t="s">
        <v>180</v>
      </c>
      <c r="V47" s="24" t="s">
        <v>95</v>
      </c>
      <c r="W47" s="24">
        <v>10</v>
      </c>
      <c r="X47" s="24" t="s">
        <v>100</v>
      </c>
      <c r="Y47" s="24" t="s">
        <v>291</v>
      </c>
      <c r="Z47" s="24">
        <v>2</v>
      </c>
      <c r="AA47" t="s">
        <v>282</v>
      </c>
      <c r="AB47" t="s">
        <v>142</v>
      </c>
      <c r="AC47" s="24" t="s">
        <v>100</v>
      </c>
      <c r="AD47" s="24">
        <v>6</v>
      </c>
      <c r="AE47" s="24">
        <f t="shared" si="0"/>
        <v>40</v>
      </c>
      <c r="AF47" s="24" t="s">
        <v>100</v>
      </c>
      <c r="AG47" s="24" t="s">
        <v>101</v>
      </c>
      <c r="AH47" s="24" t="s">
        <v>237</v>
      </c>
      <c r="AI47" s="24" t="s">
        <v>103</v>
      </c>
      <c r="AJ47" s="24" t="s">
        <v>103</v>
      </c>
      <c r="AK47" s="24" t="s">
        <v>103</v>
      </c>
      <c r="AL47" t="s">
        <v>103</v>
      </c>
      <c r="AM47" s="24" t="s">
        <v>103</v>
      </c>
      <c r="AN47" s="24" t="s">
        <v>103</v>
      </c>
      <c r="AO47" s="24" t="s">
        <v>103</v>
      </c>
      <c r="AP47" s="25" t="s">
        <v>90</v>
      </c>
      <c r="AQ47" s="25" t="s">
        <v>90</v>
      </c>
      <c r="AR47" s="24">
        <v>0</v>
      </c>
      <c r="AS47" s="24" t="s">
        <v>100</v>
      </c>
      <c r="AT47" s="24" t="s">
        <v>103</v>
      </c>
      <c r="AU47" s="24" t="s">
        <v>95</v>
      </c>
      <c r="AV47" s="24" t="s">
        <v>185</v>
      </c>
      <c r="AW47" s="24" t="s">
        <v>256</v>
      </c>
      <c r="AX47">
        <f>22*4/$N47</f>
        <v>586.66666666666674</v>
      </c>
      <c r="AY47" s="50">
        <f>12*4/$N47</f>
        <v>320</v>
      </c>
      <c r="AZ47">
        <f>AX47+AX47*((100-Q47)/100)</f>
        <v>586.66666666666674</v>
      </c>
      <c r="BA47">
        <f>AY47+AY47*((100-Q47)/100)</f>
        <v>320</v>
      </c>
      <c r="BB47" t="s">
        <v>90</v>
      </c>
      <c r="BC47" t="s">
        <v>90</v>
      </c>
      <c r="BD47" t="s">
        <v>90</v>
      </c>
      <c r="BE47" t="s">
        <v>90</v>
      </c>
      <c r="BF47">
        <v>1</v>
      </c>
      <c r="BG47">
        <v>2500</v>
      </c>
      <c r="BH47" s="25" t="s">
        <v>90</v>
      </c>
      <c r="BI47" s="25" t="s">
        <v>90</v>
      </c>
      <c r="BJ47" s="24" t="s">
        <v>142</v>
      </c>
      <c r="BK47" s="24" t="s">
        <v>101</v>
      </c>
      <c r="BL47" s="24">
        <v>13</v>
      </c>
      <c r="BM47" s="24" t="s">
        <v>109</v>
      </c>
      <c r="BN47" t="s">
        <v>110</v>
      </c>
      <c r="BO47">
        <v>0</v>
      </c>
      <c r="BP47" t="s">
        <v>132</v>
      </c>
      <c r="BQ47" t="str">
        <f>IF(AND(BP47="Not member",G47="KasaiLomami"),"VC3", "VC1 or VC2")</f>
        <v>VC3</v>
      </c>
      <c r="BR47" s="24">
        <v>5.6829569835764699</v>
      </c>
      <c r="BS47" s="24">
        <v>0.163215168623908</v>
      </c>
      <c r="BT47" s="26"/>
      <c r="BU47" s="26"/>
      <c r="BV47" s="26"/>
      <c r="BW47" s="26"/>
      <c r="BX47" s="26">
        <v>47</v>
      </c>
      <c r="BY47" s="26">
        <v>41.643000000000001</v>
      </c>
      <c r="BZ47" s="26">
        <v>5.3569999999999993</v>
      </c>
      <c r="CA47" s="26">
        <v>47</v>
      </c>
      <c r="CB47">
        <f>IF(AZ47&lt;&gt;"NA",(10000/AZ47)*(125/365),(10000/BA47)*(125/365))</f>
        <v>5.8374844333748435</v>
      </c>
      <c r="CC47">
        <f>IF(BA47&lt;&gt;"NA",(10000/BA47)*(125/365),(10000/AZ47)*(125/365))</f>
        <v>10.702054794520548</v>
      </c>
      <c r="CD47">
        <f>AE47/AVERAGE(AZ47,BA47)</f>
        <v>8.8235294117647051E-2</v>
      </c>
      <c r="CE47">
        <f>1.911*IF(AX47&lt;&gt;"NA", AVERAGE(AX47,AY47), AVERAGE(AZ47,BA47))</f>
        <v>866.32</v>
      </c>
      <c r="CF47">
        <v>0</v>
      </c>
      <c r="CG47" s="27">
        <f>(CF47/N47)/IF(AX47&lt;&gt;"NA", AX47,AY47)</f>
        <v>0</v>
      </c>
      <c r="CH47">
        <f>CF47/N47</f>
        <v>0</v>
      </c>
    </row>
    <row r="48" spans="1:86" s="24" customFormat="1" ht="14.7" customHeight="1" x14ac:dyDescent="0.3">
      <c r="A48">
        <v>47</v>
      </c>
      <c r="B48" s="20" t="s">
        <v>316</v>
      </c>
      <c r="C48" t="s">
        <v>134</v>
      </c>
      <c r="D48" s="32">
        <v>-6.6082200000000002</v>
      </c>
      <c r="E48" s="32">
        <v>23.880436</v>
      </c>
      <c r="F48">
        <v>722</v>
      </c>
      <c r="G48" t="s">
        <v>88</v>
      </c>
      <c r="H48" s="24" t="s">
        <v>135</v>
      </c>
      <c r="I48">
        <v>38</v>
      </c>
      <c r="J48" s="24" t="s">
        <v>115</v>
      </c>
      <c r="K48" t="s">
        <v>180</v>
      </c>
      <c r="L48" s="24" t="s">
        <v>302</v>
      </c>
      <c r="M48">
        <v>1.75</v>
      </c>
      <c r="N48">
        <v>0.25</v>
      </c>
      <c r="O48" t="s">
        <v>303</v>
      </c>
      <c r="P48" t="s">
        <v>296</v>
      </c>
      <c r="Q48" s="24">
        <v>70</v>
      </c>
      <c r="R48" s="19">
        <v>45180</v>
      </c>
      <c r="S48" s="19">
        <v>45344</v>
      </c>
      <c r="T48" t="s">
        <v>180</v>
      </c>
      <c r="U48" t="s">
        <v>304</v>
      </c>
      <c r="V48" s="24" t="s">
        <v>95</v>
      </c>
      <c r="W48" s="24">
        <v>10</v>
      </c>
      <c r="X48" s="24" t="s">
        <v>100</v>
      </c>
      <c r="Y48" t="s">
        <v>101</v>
      </c>
      <c r="Z48" s="24">
        <v>2</v>
      </c>
      <c r="AA48" t="s">
        <v>282</v>
      </c>
      <c r="AB48" t="s">
        <v>142</v>
      </c>
      <c r="AC48" s="24" t="s">
        <v>100</v>
      </c>
      <c r="AD48">
        <v>20</v>
      </c>
      <c r="AE48" s="24">
        <f t="shared" si="0"/>
        <v>114.28571428571429</v>
      </c>
      <c r="AF48" s="24" t="s">
        <v>100</v>
      </c>
      <c r="AG48" s="24" t="s">
        <v>101</v>
      </c>
      <c r="AH48" s="24" t="s">
        <v>102</v>
      </c>
      <c r="AI48" s="24" t="s">
        <v>103</v>
      </c>
      <c r="AJ48" s="24" t="s">
        <v>103</v>
      </c>
      <c r="AK48" s="24" t="s">
        <v>103</v>
      </c>
      <c r="AL48" t="s">
        <v>103</v>
      </c>
      <c r="AM48" s="24" t="s">
        <v>103</v>
      </c>
      <c r="AN48" s="24" t="s">
        <v>103</v>
      </c>
      <c r="AO48" s="24" t="s">
        <v>103</v>
      </c>
      <c r="AP48" s="25" t="s">
        <v>90</v>
      </c>
      <c r="AQ48" s="25" t="s">
        <v>90</v>
      </c>
      <c r="AR48" s="25" t="s">
        <v>90</v>
      </c>
      <c r="AS48" s="25" t="s">
        <v>90</v>
      </c>
      <c r="AT48" s="25" t="s">
        <v>90</v>
      </c>
      <c r="AU48" s="25" t="s">
        <v>90</v>
      </c>
      <c r="AV48" s="24" t="s">
        <v>185</v>
      </c>
      <c r="AW48" s="24" t="s">
        <v>256</v>
      </c>
      <c r="AX48" t="s">
        <v>90</v>
      </c>
      <c r="AY48" s="50">
        <f>32*4/$N48</f>
        <v>512</v>
      </c>
      <c r="AZ48" t="s">
        <v>90</v>
      </c>
      <c r="BA48">
        <f>AY48+AY48*((100-Q48)/100)</f>
        <v>665.6</v>
      </c>
      <c r="BB48" t="s">
        <v>90</v>
      </c>
      <c r="BC48" t="s">
        <v>90</v>
      </c>
      <c r="BD48" s="20">
        <f>(150/$N48)</f>
        <v>600</v>
      </c>
      <c r="BE48">
        <f>BD48+(BD48*Q48)/(100-Q48)</f>
        <v>2000</v>
      </c>
      <c r="BF48">
        <f>AY48/BA48+BD48/BE48</f>
        <v>1.0692307692307692</v>
      </c>
      <c r="BG48">
        <f>8000/4</f>
        <v>2000</v>
      </c>
      <c r="BH48" s="25" t="s">
        <v>90</v>
      </c>
      <c r="BI48" s="25" t="s">
        <v>90</v>
      </c>
      <c r="BJ48" t="s">
        <v>305</v>
      </c>
      <c r="BK48" s="25" t="s">
        <v>90</v>
      </c>
      <c r="BL48" s="24">
        <v>13</v>
      </c>
      <c r="BM48" s="24" t="s">
        <v>258</v>
      </c>
      <c r="BN48" t="s">
        <v>110</v>
      </c>
      <c r="BO48">
        <v>0</v>
      </c>
      <c r="BP48" t="s">
        <v>132</v>
      </c>
      <c r="BQ48" t="str">
        <f>IF(AND(BP48="Not member",G48="KasaiLomami"),"VC3", "VC1 or VC2")</f>
        <v>VC3</v>
      </c>
      <c r="BR48" s="24">
        <v>5.43</v>
      </c>
      <c r="BS48" s="24">
        <v>0.17445492547064101</v>
      </c>
      <c r="BT48" s="26"/>
      <c r="BU48" s="26"/>
      <c r="BV48" s="26"/>
      <c r="BW48" s="26"/>
      <c r="BX48" s="26">
        <v>47</v>
      </c>
      <c r="BY48" s="26">
        <v>49.320300000000003</v>
      </c>
      <c r="BZ48" s="26">
        <v>-2.3203000000000031</v>
      </c>
      <c r="CA48" s="26">
        <v>47</v>
      </c>
      <c r="CB48">
        <f>IF(AZ48&lt;&gt;"NA",(10000/AZ48)*(125/365),(10000/BA48)*(125/365))</f>
        <v>5.1452186512118017</v>
      </c>
      <c r="CC48">
        <f>IF(BA48&lt;&gt;"NA",(10000/BA48)*(125/365),(10000/AZ48)*(125/365))</f>
        <v>5.1452186512118017</v>
      </c>
      <c r="CD48">
        <f>AE48/AVERAGE(AZ48,BA48)</f>
        <v>0.1717032967032967</v>
      </c>
      <c r="CE48">
        <f>1.911*IF(AX48&lt;&gt;"NA", AVERAGE(AX48,AY48), AVERAGE(AZ48,BA48))</f>
        <v>1271.9616000000001</v>
      </c>
      <c r="CF48">
        <v>10</v>
      </c>
      <c r="CG48" s="27">
        <f>(CF48/N48)/IF(AX48&lt;&gt;"NA", AX48,AY48)</f>
        <v>7.8125E-2</v>
      </c>
      <c r="CH48">
        <f>CF48/N48</f>
        <v>40</v>
      </c>
    </row>
    <row r="49" spans="1:86" s="24" customFormat="1" ht="15.6" customHeight="1" x14ac:dyDescent="0.3">
      <c r="A49">
        <v>48</v>
      </c>
      <c r="B49" s="20" t="s">
        <v>317</v>
      </c>
      <c r="C49" t="s">
        <v>134</v>
      </c>
      <c r="D49" s="34">
        <v>-6.3654159999999997</v>
      </c>
      <c r="E49" s="32">
        <v>23.788684</v>
      </c>
      <c r="F49">
        <v>636</v>
      </c>
      <c r="G49" t="s">
        <v>88</v>
      </c>
      <c r="H49" s="24" t="s">
        <v>89</v>
      </c>
      <c r="I49">
        <v>52</v>
      </c>
      <c r="J49" s="24" t="s">
        <v>115</v>
      </c>
      <c r="K49" t="s">
        <v>307</v>
      </c>
      <c r="L49" s="24" t="s">
        <v>92</v>
      </c>
      <c r="M49">
        <v>1.5</v>
      </c>
      <c r="N49">
        <v>0.08</v>
      </c>
      <c r="O49" t="s">
        <v>92</v>
      </c>
      <c r="P49" t="s">
        <v>308</v>
      </c>
      <c r="Q49" s="24">
        <v>100</v>
      </c>
      <c r="R49" s="19">
        <v>45195</v>
      </c>
      <c r="S49" s="19" t="s">
        <v>298</v>
      </c>
      <c r="T49" s="24" t="s">
        <v>182</v>
      </c>
      <c r="U49" t="s">
        <v>309</v>
      </c>
      <c r="V49" s="24" t="s">
        <v>95</v>
      </c>
      <c r="W49" s="24">
        <v>10</v>
      </c>
      <c r="X49" s="24" t="s">
        <v>100</v>
      </c>
      <c r="Y49" t="s">
        <v>101</v>
      </c>
      <c r="Z49" s="24">
        <v>2</v>
      </c>
      <c r="AA49" t="s">
        <v>282</v>
      </c>
      <c r="AB49" t="s">
        <v>142</v>
      </c>
      <c r="AC49" s="24" t="s">
        <v>100</v>
      </c>
      <c r="AD49">
        <v>6</v>
      </c>
      <c r="AE49" s="24">
        <f t="shared" si="0"/>
        <v>75</v>
      </c>
      <c r="AF49" s="24" t="s">
        <v>100</v>
      </c>
      <c r="AG49" s="24" t="s">
        <v>101</v>
      </c>
      <c r="AH49" s="24" t="s">
        <v>102</v>
      </c>
      <c r="AI49" s="24" t="s">
        <v>103</v>
      </c>
      <c r="AJ49" s="24" t="s">
        <v>103</v>
      </c>
      <c r="AK49" s="24" t="s">
        <v>103</v>
      </c>
      <c r="AL49" t="s">
        <v>103</v>
      </c>
      <c r="AM49" s="24" t="s">
        <v>103</v>
      </c>
      <c r="AN49" s="24" t="s">
        <v>103</v>
      </c>
      <c r="AO49" s="24" t="s">
        <v>103</v>
      </c>
      <c r="AP49" s="25" t="s">
        <v>90</v>
      </c>
      <c r="AQ49" s="25" t="s">
        <v>90</v>
      </c>
      <c r="AR49" s="25" t="s">
        <v>90</v>
      </c>
      <c r="AS49" s="25" t="s">
        <v>90</v>
      </c>
      <c r="AT49" s="25" t="s">
        <v>90</v>
      </c>
      <c r="AU49" s="25" t="s">
        <v>90</v>
      </c>
      <c r="AV49" s="24" t="s">
        <v>185</v>
      </c>
      <c r="AW49" s="24" t="s">
        <v>256</v>
      </c>
      <c r="AX49" t="s">
        <v>90</v>
      </c>
      <c r="AY49" s="50">
        <f>15*4/$N49</f>
        <v>750</v>
      </c>
      <c r="AZ49" t="s">
        <v>90</v>
      </c>
      <c r="BA49">
        <f>AY49+AY49*((100-Q49)/100)</f>
        <v>750</v>
      </c>
      <c r="BB49" t="s">
        <v>90</v>
      </c>
      <c r="BC49" t="s">
        <v>90</v>
      </c>
      <c r="BD49" t="s">
        <v>90</v>
      </c>
      <c r="BE49" t="s">
        <v>90</v>
      </c>
      <c r="BF49">
        <v>1</v>
      </c>
      <c r="BG49">
        <f>7000/4</f>
        <v>1750</v>
      </c>
      <c r="BH49" s="24" t="s">
        <v>90</v>
      </c>
      <c r="BI49" s="24" t="s">
        <v>90</v>
      </c>
      <c r="BJ49" t="s">
        <v>305</v>
      </c>
      <c r="BK49" s="25" t="s">
        <v>90</v>
      </c>
      <c r="BL49" s="24">
        <v>13</v>
      </c>
      <c r="BM49" s="24" t="s">
        <v>258</v>
      </c>
      <c r="BN49" t="s">
        <v>110</v>
      </c>
      <c r="BO49">
        <v>1</v>
      </c>
      <c r="BP49" t="s">
        <v>127</v>
      </c>
      <c r="BQ49" t="s">
        <v>112</v>
      </c>
      <c r="BR49" s="24">
        <v>5.0999999999999996</v>
      </c>
      <c r="BS49" s="24">
        <v>0.18390891488220901</v>
      </c>
      <c r="BT49" s="26"/>
      <c r="BU49" s="26"/>
      <c r="BV49" s="26"/>
      <c r="BW49" s="26"/>
      <c r="BX49" s="26">
        <v>47</v>
      </c>
      <c r="BY49" s="26">
        <v>27.071999999999999</v>
      </c>
      <c r="BZ49" s="26">
        <v>19.928000000000001</v>
      </c>
      <c r="CA49" s="26">
        <v>47</v>
      </c>
      <c r="CB49">
        <f>IF(AZ49&lt;&gt;"NA",(10000/AZ49)*(125/365),(10000/BA49)*(125/365))</f>
        <v>4.5662100456621006</v>
      </c>
      <c r="CC49">
        <f>IF(BA49&lt;&gt;"NA",(10000/BA49)*(125/365),(10000/AZ49)*(125/365))</f>
        <v>4.5662100456621006</v>
      </c>
      <c r="CD49">
        <f>AE49/AVERAGE(AZ49,BA49)</f>
        <v>0.1</v>
      </c>
      <c r="CE49">
        <f>1.911*IF(AX49&lt;&gt;"NA", AVERAGE(AX49,AY49), AVERAGE(AZ49,BA49))</f>
        <v>1433.25</v>
      </c>
      <c r="CF49">
        <v>5</v>
      </c>
      <c r="CG49" s="27">
        <f>(CF49/N49)/IF(AX49&lt;&gt;"NA", AX49,AY49)</f>
        <v>8.3333333333333329E-2</v>
      </c>
      <c r="CH49">
        <f>CF49/N49</f>
        <v>62.5</v>
      </c>
    </row>
    <row r="50" spans="1:86" s="24" customFormat="1" ht="16.5" customHeight="1" x14ac:dyDescent="0.3">
      <c r="A50">
        <v>49</v>
      </c>
      <c r="B50" s="35" t="s">
        <v>318</v>
      </c>
      <c r="C50" t="s">
        <v>87</v>
      </c>
      <c r="D50">
        <v>-2.3564440000000002</v>
      </c>
      <c r="E50" s="29">
        <v>28.888048000000001</v>
      </c>
      <c r="F50">
        <v>1553</v>
      </c>
      <c r="G50" s="36" t="s">
        <v>319</v>
      </c>
      <c r="H50" s="36" t="s">
        <v>320</v>
      </c>
      <c r="I50" s="24">
        <v>54</v>
      </c>
      <c r="J50" s="24" t="s">
        <v>115</v>
      </c>
      <c r="K50" s="24" t="s">
        <v>321</v>
      </c>
      <c r="L50" s="24" t="s">
        <v>321</v>
      </c>
      <c r="M50" s="24">
        <f>18*42/10000</f>
        <v>7.5600000000000001E-2</v>
      </c>
      <c r="N50" s="24">
        <f t="shared" ref="N50:N113" si="3">M50</f>
        <v>7.5600000000000001E-2</v>
      </c>
      <c r="O50" s="24" t="s">
        <v>321</v>
      </c>
      <c r="P50" s="24" t="s">
        <v>322</v>
      </c>
      <c r="Q50" s="24">
        <v>70</v>
      </c>
      <c r="R50" s="31">
        <v>44835</v>
      </c>
      <c r="S50" s="31">
        <v>44962</v>
      </c>
      <c r="T50" s="24" t="s">
        <v>323</v>
      </c>
      <c r="U50" s="24" t="s">
        <v>165</v>
      </c>
      <c r="V50" s="24" t="s">
        <v>324</v>
      </c>
      <c r="W50" s="24">
        <v>20</v>
      </c>
      <c r="X50" s="24" t="s">
        <v>100</v>
      </c>
      <c r="Y50" s="24" t="s">
        <v>101</v>
      </c>
      <c r="Z50" s="24">
        <v>1</v>
      </c>
      <c r="AA50" s="24" t="s">
        <v>325</v>
      </c>
      <c r="AB50" s="24" t="s">
        <v>326</v>
      </c>
      <c r="AC50" s="24" t="s">
        <v>100</v>
      </c>
      <c r="AD50" s="24">
        <v>4.5</v>
      </c>
      <c r="AE50" s="24">
        <f t="shared" si="0"/>
        <v>85.034013605442183</v>
      </c>
      <c r="AF50" s="24" t="s">
        <v>96</v>
      </c>
      <c r="AG50" s="24" t="s">
        <v>101</v>
      </c>
      <c r="AH50" s="24" t="s">
        <v>327</v>
      </c>
      <c r="AI50" s="24" t="s">
        <v>103</v>
      </c>
      <c r="AJ50" s="24" t="s">
        <v>328</v>
      </c>
      <c r="AK50" s="24" t="s">
        <v>329</v>
      </c>
      <c r="AL50" s="24" t="s">
        <v>330</v>
      </c>
      <c r="AM50" s="24">
        <v>1</v>
      </c>
      <c r="AN50" s="24" t="s">
        <v>331</v>
      </c>
      <c r="AO50" s="25" t="s">
        <v>90</v>
      </c>
      <c r="AP50" s="24" t="s">
        <v>332</v>
      </c>
      <c r="AQ50" s="24" t="s">
        <v>332</v>
      </c>
      <c r="AR50" s="24">
        <v>40</v>
      </c>
      <c r="AS50" s="24" t="s">
        <v>324</v>
      </c>
      <c r="AT50" s="24" t="s">
        <v>333</v>
      </c>
      <c r="AU50" s="24" t="s">
        <v>334</v>
      </c>
      <c r="AV50" s="24" t="s">
        <v>335</v>
      </c>
      <c r="AW50" s="24" t="s">
        <v>336</v>
      </c>
      <c r="AX50" s="24">
        <f>82.5/$N50</f>
        <v>1091.2698412698412</v>
      </c>
      <c r="AY50" s="50">
        <v>844</v>
      </c>
      <c r="AZ50" s="24">
        <f>AX50+AX50*((100-Q50)/100)</f>
        <v>1418.6507936507935</v>
      </c>
      <c r="BA50" s="24" t="s">
        <v>90</v>
      </c>
      <c r="BB50" s="24">
        <f>150/$N50</f>
        <v>1984.1269841269841</v>
      </c>
      <c r="BC50" s="24">
        <f>BB50+(BB50*Q50)/(100-Q50)</f>
        <v>6613.7566137566137</v>
      </c>
      <c r="BD50" s="24" t="s">
        <v>90</v>
      </c>
      <c r="BE50" s="24" t="s">
        <v>90</v>
      </c>
      <c r="BF50" s="24">
        <f>AX50/AZ50+BB50/BC50</f>
        <v>1.0692307692307692</v>
      </c>
      <c r="BG50" s="24">
        <v>1800</v>
      </c>
      <c r="BH50" s="24" t="s">
        <v>90</v>
      </c>
      <c r="BI50" s="24">
        <v>1400</v>
      </c>
      <c r="BJ50" s="24" t="s">
        <v>337</v>
      </c>
      <c r="BK50" s="24" t="s">
        <v>338</v>
      </c>
      <c r="BL50" s="24">
        <v>13</v>
      </c>
      <c r="BM50" s="24" t="s">
        <v>258</v>
      </c>
      <c r="BN50" t="s">
        <v>110</v>
      </c>
      <c r="BO50">
        <v>1</v>
      </c>
      <c r="BP50" s="24" t="s">
        <v>339</v>
      </c>
      <c r="BQ50" t="s">
        <v>340</v>
      </c>
      <c r="BR50" s="24">
        <v>4.78</v>
      </c>
      <c r="BS50" s="24">
        <v>0.1681</v>
      </c>
      <c r="BT50" s="26">
        <v>47.113188700000002</v>
      </c>
      <c r="BU50" s="26">
        <v>44.320916000000004</v>
      </c>
      <c r="BV50" s="26">
        <v>8.5659192100000006</v>
      </c>
      <c r="BW50" s="26" t="s">
        <v>341</v>
      </c>
      <c r="BX50" s="26">
        <v>63</v>
      </c>
      <c r="BY50" s="26">
        <v>41.256</v>
      </c>
      <c r="BZ50" s="26">
        <v>103.744</v>
      </c>
      <c r="CA50" s="26">
        <v>145</v>
      </c>
      <c r="CB50">
        <f>IF(AZ50&lt;&gt;"NA",(10000/AZ50)*(125/365),(10000/BA50)*(125/365))</f>
        <v>2.4140243318325512</v>
      </c>
      <c r="CC50">
        <f>IF(BA50&lt;&gt;"NA",(10000/BA50)*(125/365),(10000/AZ50)*(125/365))</f>
        <v>2.4140243318325512</v>
      </c>
      <c r="CD50">
        <f>AE50/AVERAGE(AZ50,BA50)</f>
        <v>5.994005994005995E-2</v>
      </c>
      <c r="CE50">
        <f>1.911*IF(AX50&lt;&gt;"NA", AVERAGE(AX50,AY50), AVERAGE(AZ50,BA50))</f>
        <v>1849.1503333333333</v>
      </c>
      <c r="CF50">
        <v>0</v>
      </c>
      <c r="CG50" s="27">
        <f>(CF50/N50)/IF(AX50&lt;&gt;"NA", AX50,AY50)</f>
        <v>0</v>
      </c>
      <c r="CH50">
        <f>CF50/N50</f>
        <v>0</v>
      </c>
    </row>
    <row r="51" spans="1:86" s="24" customFormat="1" ht="14.1" customHeight="1" x14ac:dyDescent="0.3">
      <c r="A51">
        <v>50</v>
      </c>
      <c r="B51" s="35" t="s">
        <v>342</v>
      </c>
      <c r="C51" t="s">
        <v>87</v>
      </c>
      <c r="D51" s="29">
        <v>-2.3748179999999999</v>
      </c>
      <c r="E51" s="29">
        <v>28.753409999999999</v>
      </c>
      <c r="F51" s="25">
        <v>2061</v>
      </c>
      <c r="G51" s="36" t="s">
        <v>319</v>
      </c>
      <c r="H51" s="36" t="s">
        <v>320</v>
      </c>
      <c r="I51" s="24">
        <v>54</v>
      </c>
      <c r="J51" s="24" t="s">
        <v>115</v>
      </c>
      <c r="K51" s="24" t="s">
        <v>321</v>
      </c>
      <c r="L51" s="24" t="s">
        <v>323</v>
      </c>
      <c r="M51" s="24">
        <f>70*42/10000</f>
        <v>0.29399999999999998</v>
      </c>
      <c r="N51" s="24">
        <f t="shared" si="3"/>
        <v>0.29399999999999998</v>
      </c>
      <c r="O51" s="24" t="s">
        <v>343</v>
      </c>
      <c r="P51" s="24" t="s">
        <v>344</v>
      </c>
      <c r="Q51" s="24">
        <v>50</v>
      </c>
      <c r="R51" s="31">
        <v>44835</v>
      </c>
      <c r="S51" s="31">
        <v>44962</v>
      </c>
      <c r="T51" s="24" t="s">
        <v>323</v>
      </c>
      <c r="U51" s="25" t="s">
        <v>90</v>
      </c>
      <c r="V51" s="24" t="s">
        <v>324</v>
      </c>
      <c r="W51" s="24">
        <v>20</v>
      </c>
      <c r="X51" s="24" t="s">
        <v>100</v>
      </c>
      <c r="Y51" s="24" t="s">
        <v>101</v>
      </c>
      <c r="Z51" s="24">
        <v>1</v>
      </c>
      <c r="AA51" s="24" t="s">
        <v>325</v>
      </c>
      <c r="AB51" s="24" t="s">
        <v>326</v>
      </c>
      <c r="AC51" s="24" t="s">
        <v>100</v>
      </c>
      <c r="AD51" s="24">
        <v>17</v>
      </c>
      <c r="AE51" s="24">
        <f t="shared" si="0"/>
        <v>115.64625850340137</v>
      </c>
      <c r="AF51" s="24" t="s">
        <v>96</v>
      </c>
      <c r="AG51" s="24" t="s">
        <v>101</v>
      </c>
      <c r="AH51" s="25" t="s">
        <v>90</v>
      </c>
      <c r="AI51" s="24" t="s">
        <v>103</v>
      </c>
      <c r="AJ51" s="24" t="s">
        <v>345</v>
      </c>
      <c r="AK51" s="24" t="s">
        <v>329</v>
      </c>
      <c r="AL51" s="24" t="s">
        <v>330</v>
      </c>
      <c r="AM51" s="24">
        <v>1</v>
      </c>
      <c r="AN51" s="24" t="s">
        <v>331</v>
      </c>
      <c r="AO51" s="25" t="s">
        <v>90</v>
      </c>
      <c r="AP51" s="24" t="s">
        <v>332</v>
      </c>
      <c r="AQ51" s="24" t="s">
        <v>332</v>
      </c>
      <c r="AR51" s="24" t="s">
        <v>346</v>
      </c>
      <c r="AS51" s="24" t="s">
        <v>96</v>
      </c>
      <c r="AT51" s="24" t="s">
        <v>347</v>
      </c>
      <c r="AU51" s="24" t="s">
        <v>348</v>
      </c>
      <c r="AV51" s="25" t="s">
        <v>90</v>
      </c>
      <c r="AW51" s="24" t="s">
        <v>349</v>
      </c>
      <c r="AX51" s="24" t="s">
        <v>90</v>
      </c>
      <c r="AY51" s="50">
        <f>40/$N51</f>
        <v>136.0544217687075</v>
      </c>
      <c r="AZ51" s="24" t="s">
        <v>90</v>
      </c>
      <c r="BA51" s="24">
        <f>AY51+AY51*((100-Q51)/100)</f>
        <v>204.08163265306126</v>
      </c>
      <c r="BB51" s="24">
        <f>(350/$N51)</f>
        <v>1190.4761904761906</v>
      </c>
      <c r="BC51" s="24">
        <f>BB51+(BB51*Q51)/(100-Q51)</f>
        <v>2380.9523809523812</v>
      </c>
      <c r="BD51" s="24" t="s">
        <v>90</v>
      </c>
      <c r="BE51" s="24" t="s">
        <v>90</v>
      </c>
      <c r="BF51" s="24">
        <f>AY51/BA51+BB51/BC51</f>
        <v>1.1666666666666665</v>
      </c>
      <c r="BG51" s="24">
        <v>1800</v>
      </c>
      <c r="BH51" s="24" t="s">
        <v>90</v>
      </c>
      <c r="BI51" s="24">
        <v>1400</v>
      </c>
      <c r="BJ51" s="24" t="s">
        <v>337</v>
      </c>
      <c r="BK51" s="24" t="s">
        <v>338</v>
      </c>
      <c r="BL51" s="24">
        <v>13</v>
      </c>
      <c r="BM51" s="24" t="s">
        <v>350</v>
      </c>
      <c r="BN51" t="s">
        <v>110</v>
      </c>
      <c r="BO51">
        <v>1</v>
      </c>
      <c r="BP51" s="24" t="s">
        <v>339</v>
      </c>
      <c r="BQ51" t="s">
        <v>340</v>
      </c>
      <c r="BR51">
        <v>5.4071897878973001</v>
      </c>
      <c r="BS51" s="24">
        <v>0.121322977155311</v>
      </c>
      <c r="BT51" s="26"/>
      <c r="BU51" s="26"/>
      <c r="BV51" s="26"/>
      <c r="BW51" s="26"/>
      <c r="BX51" s="26">
        <v>63</v>
      </c>
      <c r="BY51" s="26">
        <v>31.24946856250056</v>
      </c>
      <c r="BZ51" s="26">
        <v>113.75053143749943</v>
      </c>
      <c r="CA51" s="26">
        <v>145</v>
      </c>
      <c r="CB51">
        <f>IF(AZ51&lt;&gt;"NA",(10000/AZ51)*(125/365),(10000/BA51)*(125/365))</f>
        <v>16.780821917808215</v>
      </c>
      <c r="CC51">
        <f>IF(BA51&lt;&gt;"NA",(10000/BA51)*(125/365),(10000/AZ51)*(125/365))</f>
        <v>16.780821917808215</v>
      </c>
      <c r="CD51">
        <f>AE51/AVERAGE(AZ51,BA51)</f>
        <v>0.56666666666666665</v>
      </c>
      <c r="CE51">
        <f>1.911*IF(AX51&lt;&gt;"NA", AVERAGE(AX51,AY51), AVERAGE(AZ51,BA51))</f>
        <v>390.00000000000006</v>
      </c>
      <c r="CF51">
        <v>10</v>
      </c>
      <c r="CG51" s="27">
        <f>(CF51/N51)/IF(AX51&lt;&gt;"NA", AX51,AY51)</f>
        <v>0.25</v>
      </c>
      <c r="CH51">
        <f>CF51/N51</f>
        <v>34.013605442176875</v>
      </c>
    </row>
    <row r="52" spans="1:86" s="24" customFormat="1" ht="15.6" x14ac:dyDescent="0.3">
      <c r="A52">
        <v>51</v>
      </c>
      <c r="B52" s="35" t="s">
        <v>351</v>
      </c>
      <c r="C52" t="s">
        <v>87</v>
      </c>
      <c r="D52" s="29">
        <v>-2.3619669999999999</v>
      </c>
      <c r="E52" s="29">
        <v>28.880503000000001</v>
      </c>
      <c r="F52" s="24">
        <v>1491</v>
      </c>
      <c r="G52" s="36" t="s">
        <v>319</v>
      </c>
      <c r="H52" s="36" t="s">
        <v>320</v>
      </c>
      <c r="I52" s="24">
        <v>71</v>
      </c>
      <c r="J52" s="24" t="s">
        <v>115</v>
      </c>
      <c r="K52" s="24" t="s">
        <v>352</v>
      </c>
      <c r="L52" s="24" t="s">
        <v>353</v>
      </c>
      <c r="M52" s="24">
        <f>56*37/10000</f>
        <v>0.2072</v>
      </c>
      <c r="N52" s="24">
        <f t="shared" si="3"/>
        <v>0.2072</v>
      </c>
      <c r="O52" s="24" t="s">
        <v>353</v>
      </c>
      <c r="P52" s="24" t="s">
        <v>93</v>
      </c>
      <c r="Q52" s="24">
        <v>50</v>
      </c>
      <c r="R52" s="24" t="s">
        <v>90</v>
      </c>
      <c r="S52" s="31">
        <v>44967</v>
      </c>
      <c r="T52" s="24" t="s">
        <v>354</v>
      </c>
      <c r="U52" s="25" t="s">
        <v>90</v>
      </c>
      <c r="V52" s="24" t="s">
        <v>324</v>
      </c>
      <c r="W52" s="24">
        <v>20</v>
      </c>
      <c r="X52" s="24" t="s">
        <v>100</v>
      </c>
      <c r="Y52" s="24" t="s">
        <v>101</v>
      </c>
      <c r="Z52" s="24">
        <v>1</v>
      </c>
      <c r="AA52" s="24" t="s">
        <v>325</v>
      </c>
      <c r="AB52" s="24" t="s">
        <v>326</v>
      </c>
      <c r="AC52" s="24" t="s">
        <v>100</v>
      </c>
      <c r="AD52" s="24">
        <v>4.5</v>
      </c>
      <c r="AE52" s="24">
        <f t="shared" si="0"/>
        <v>43.43629343629344</v>
      </c>
      <c r="AF52" s="24" t="s">
        <v>96</v>
      </c>
      <c r="AG52" s="24" t="s">
        <v>101</v>
      </c>
      <c r="AH52" s="24" t="s">
        <v>327</v>
      </c>
      <c r="AI52" s="24" t="s">
        <v>103</v>
      </c>
      <c r="AJ52" s="24" t="s">
        <v>345</v>
      </c>
      <c r="AK52" s="24" t="s">
        <v>329</v>
      </c>
      <c r="AL52" s="24" t="s">
        <v>330</v>
      </c>
      <c r="AM52" s="24">
        <v>1</v>
      </c>
      <c r="AN52" s="24" t="s">
        <v>331</v>
      </c>
      <c r="AO52" s="25" t="s">
        <v>90</v>
      </c>
      <c r="AP52" s="24" t="s">
        <v>332</v>
      </c>
      <c r="AQ52" s="24" t="s">
        <v>332</v>
      </c>
      <c r="AR52" s="24">
        <v>10</v>
      </c>
      <c r="AS52" s="24" t="s">
        <v>96</v>
      </c>
      <c r="AT52" s="24" t="s">
        <v>355</v>
      </c>
      <c r="AU52" s="24" t="s">
        <v>356</v>
      </c>
      <c r="AV52" s="24" t="s">
        <v>357</v>
      </c>
      <c r="AW52" s="24" t="s">
        <v>336</v>
      </c>
      <c r="AX52" s="24">
        <f>100/$N52</f>
        <v>482.62548262548262</v>
      </c>
      <c r="AY52" s="24">
        <f>(55/$N52)</f>
        <v>265.44401544401546</v>
      </c>
      <c r="AZ52" s="24">
        <f>AX52+AX52*((100-Q52)/100)</f>
        <v>723.93822393822393</v>
      </c>
      <c r="BA52" s="24">
        <f>AY52+AY52*((100-Q52)/100)</f>
        <v>398.16602316602319</v>
      </c>
      <c r="BB52" s="24">
        <f>(150/$N52)</f>
        <v>723.93822393822393</v>
      </c>
      <c r="BC52" s="24">
        <f>BB52+(BB52*Q52)/(100-Q52)</f>
        <v>1447.8764478764479</v>
      </c>
      <c r="BD52" s="24">
        <f>70/$N52</f>
        <v>337.83783783783787</v>
      </c>
      <c r="BE52" s="24">
        <f>BD52+(BD52*Q52)/(100-Q52)</f>
        <v>675.67567567567573</v>
      </c>
      <c r="BF52" s="24">
        <f>AX52/AZ52+AY52/BA52+BB52/BC52+BD52/BE52</f>
        <v>2.333333333333333</v>
      </c>
      <c r="BG52" s="24">
        <v>1800</v>
      </c>
      <c r="BH52" s="25" t="s">
        <v>90</v>
      </c>
      <c r="BI52" s="24" t="s">
        <v>358</v>
      </c>
      <c r="BJ52" s="25" t="s">
        <v>90</v>
      </c>
      <c r="BK52" s="24" t="s">
        <v>359</v>
      </c>
      <c r="BL52" s="24">
        <v>13</v>
      </c>
      <c r="BM52" s="24" t="s">
        <v>360</v>
      </c>
      <c r="BN52" t="s">
        <v>110</v>
      </c>
      <c r="BO52">
        <v>1</v>
      </c>
      <c r="BP52" s="24" t="s">
        <v>339</v>
      </c>
      <c r="BQ52" t="s">
        <v>340</v>
      </c>
      <c r="BR52">
        <v>5.64</v>
      </c>
      <c r="BS52" s="24">
        <v>0.1075</v>
      </c>
      <c r="BT52" s="26">
        <v>45.749333</v>
      </c>
      <c r="BU52" s="26">
        <v>54.250686100000003</v>
      </c>
      <c r="BV52" s="26">
        <v>0</v>
      </c>
      <c r="BW52" s="26" t="s">
        <v>341</v>
      </c>
      <c r="BX52" s="26">
        <v>63</v>
      </c>
      <c r="BY52" s="26">
        <v>31.055999999999997</v>
      </c>
      <c r="BZ52" s="26">
        <v>113.944</v>
      </c>
      <c r="CA52" s="26">
        <v>145</v>
      </c>
      <c r="CB52">
        <f>IF(AZ52&lt;&gt;"NA",(10000/AZ52)*(125/365),(10000/BA52)*(125/365))</f>
        <v>4.730593607305936</v>
      </c>
      <c r="CC52">
        <f>IF(BA52&lt;&gt;"NA",(10000/BA52)*(125/365),(10000/AZ52)*(125/365))</f>
        <v>8.6010792860107923</v>
      </c>
      <c r="CD52">
        <f>AE52/AVERAGE(AZ52,BA52)</f>
        <v>7.7419354838709681E-2</v>
      </c>
      <c r="CE52">
        <f>1.911*IF(AX52&lt;&gt;"NA", AVERAGE(AX52,AY52), AVERAGE(AZ52,BA52))</f>
        <v>714.78040540540542</v>
      </c>
      <c r="CF52">
        <v>30</v>
      </c>
      <c r="CG52" s="27">
        <f>(CF52/N52)/IF(AX52&lt;&gt;"NA", AX52,AY52)</f>
        <v>0.3</v>
      </c>
      <c r="CH52">
        <f>CF52/N52</f>
        <v>144.78764478764478</v>
      </c>
    </row>
    <row r="53" spans="1:86" ht="15.6" x14ac:dyDescent="0.3">
      <c r="A53">
        <v>52</v>
      </c>
      <c r="B53" s="35" t="s">
        <v>361</v>
      </c>
      <c r="C53" t="s">
        <v>87</v>
      </c>
      <c r="D53" s="29">
        <v>-2.3610799999999998</v>
      </c>
      <c r="E53" s="29">
        <v>28.887473</v>
      </c>
      <c r="F53" s="24">
        <v>1480</v>
      </c>
      <c r="G53" s="36" t="s">
        <v>319</v>
      </c>
      <c r="H53" s="36" t="s">
        <v>320</v>
      </c>
      <c r="I53" s="24">
        <v>36</v>
      </c>
      <c r="J53" s="24" t="s">
        <v>91</v>
      </c>
      <c r="K53" s="24" t="s">
        <v>362</v>
      </c>
      <c r="L53" s="24" t="s">
        <v>362</v>
      </c>
      <c r="M53" s="24">
        <f>10*70/10000</f>
        <v>7.0000000000000007E-2</v>
      </c>
      <c r="N53" s="24">
        <f t="shared" si="3"/>
        <v>7.0000000000000007E-2</v>
      </c>
      <c r="O53" s="24" t="s">
        <v>363</v>
      </c>
      <c r="P53" s="24" t="s">
        <v>93</v>
      </c>
      <c r="Q53" s="24">
        <v>50</v>
      </c>
      <c r="R53" s="31">
        <v>44835</v>
      </c>
      <c r="S53" s="31">
        <v>44962</v>
      </c>
      <c r="T53" s="24" t="s">
        <v>364</v>
      </c>
      <c r="U53" s="24" t="s">
        <v>365</v>
      </c>
      <c r="V53" s="24" t="s">
        <v>324</v>
      </c>
      <c r="W53" s="24">
        <v>20</v>
      </c>
      <c r="X53" s="24" t="s">
        <v>100</v>
      </c>
      <c r="Y53" s="24" t="s">
        <v>101</v>
      </c>
      <c r="Z53" s="24">
        <v>1</v>
      </c>
      <c r="AA53" s="24" t="s">
        <v>366</v>
      </c>
      <c r="AB53" s="24" t="s">
        <v>326</v>
      </c>
      <c r="AC53" s="24" t="s">
        <v>100</v>
      </c>
      <c r="AD53" s="24">
        <v>4.5</v>
      </c>
      <c r="AE53" s="24">
        <f t="shared" si="0"/>
        <v>128.57142857142856</v>
      </c>
      <c r="AF53" s="24" t="s">
        <v>96</v>
      </c>
      <c r="AG53" s="24" t="s">
        <v>101</v>
      </c>
      <c r="AH53" s="24" t="s">
        <v>327</v>
      </c>
      <c r="AI53" s="25" t="s">
        <v>90</v>
      </c>
      <c r="AJ53" s="24" t="s">
        <v>345</v>
      </c>
      <c r="AK53" s="24" t="s">
        <v>329</v>
      </c>
      <c r="AL53" s="24" t="s">
        <v>367</v>
      </c>
      <c r="AM53" s="24">
        <v>1</v>
      </c>
      <c r="AN53" s="24" t="s">
        <v>331</v>
      </c>
      <c r="AO53" s="25" t="s">
        <v>90</v>
      </c>
      <c r="AP53" s="24" t="s">
        <v>368</v>
      </c>
      <c r="AQ53" s="24" t="s">
        <v>368</v>
      </c>
      <c r="AR53" s="24">
        <v>50</v>
      </c>
      <c r="AS53" s="24" t="s">
        <v>324</v>
      </c>
      <c r="AT53" s="24" t="s">
        <v>355</v>
      </c>
      <c r="AU53" s="24" t="s">
        <v>334</v>
      </c>
      <c r="AV53" s="24" t="s">
        <v>357</v>
      </c>
      <c r="AW53" s="24" t="s">
        <v>369</v>
      </c>
      <c r="AX53" s="24">
        <f>(42.5/$N53)</f>
        <v>607.14285714285711</v>
      </c>
      <c r="AY53" s="24">
        <f>(30/$N53)</f>
        <v>428.57142857142856</v>
      </c>
      <c r="AZ53" s="24">
        <f>AX53+AX53*((100-Q53)/100)</f>
        <v>910.71428571428567</v>
      </c>
      <c r="BA53" s="24">
        <f>AY53+AY53*((100-Q53)/100)</f>
        <v>642.85714285714289</v>
      </c>
      <c r="BB53" s="24">
        <f>(30/$N53)</f>
        <v>428.57142857142856</v>
      </c>
      <c r="BC53" s="24">
        <f>BB53+(BB53*Q53)/(100-Q53)</f>
        <v>857.14285714285711</v>
      </c>
      <c r="BD53" s="24" t="s">
        <v>90</v>
      </c>
      <c r="BE53" s="24" t="s">
        <v>90</v>
      </c>
      <c r="BF53" s="24">
        <f>AX53/AZ53+AY53/BA53+BB53/BC53</f>
        <v>1.8333333333333333</v>
      </c>
      <c r="BG53" s="24">
        <v>1800</v>
      </c>
      <c r="BH53" s="25" t="s">
        <v>90</v>
      </c>
      <c r="BI53" s="24">
        <v>1400</v>
      </c>
      <c r="BJ53" s="24" t="s">
        <v>370</v>
      </c>
      <c r="BK53" s="24" t="s">
        <v>359</v>
      </c>
      <c r="BL53" s="24">
        <v>13</v>
      </c>
      <c r="BM53" s="24" t="s">
        <v>350</v>
      </c>
      <c r="BN53" t="s">
        <v>110</v>
      </c>
      <c r="BO53">
        <v>0</v>
      </c>
      <c r="BP53" t="s">
        <v>132</v>
      </c>
      <c r="BQ53" t="s">
        <v>371</v>
      </c>
      <c r="BR53">
        <v>5.5</v>
      </c>
      <c r="BS53" s="24">
        <v>0.1168</v>
      </c>
      <c r="BT53" s="26">
        <v>59.290457600000003</v>
      </c>
      <c r="BU53" s="26">
        <v>40.709572600000001</v>
      </c>
      <c r="BV53" s="26">
        <v>0</v>
      </c>
      <c r="BW53" s="26" t="s">
        <v>341</v>
      </c>
      <c r="BX53" s="26">
        <v>63</v>
      </c>
      <c r="BY53" s="26">
        <v>34.728000000000002</v>
      </c>
      <c r="BZ53" s="26">
        <v>110.27199999999999</v>
      </c>
      <c r="CA53" s="26">
        <v>145</v>
      </c>
      <c r="CB53">
        <f>IF(AZ53&lt;&gt;"NA",(10000/AZ53)*(125/365),(10000/BA53)*(125/365))</f>
        <v>3.7604082728982</v>
      </c>
      <c r="CC53">
        <f>IF(BA53&lt;&gt;"NA",(10000/BA53)*(125/365),(10000/AZ53)*(125/365))</f>
        <v>5.32724505327245</v>
      </c>
      <c r="CD53">
        <f>AE53/AVERAGE(AZ53,BA53)</f>
        <v>0.16551724137931034</v>
      </c>
      <c r="CE53">
        <f>1.911*IF(AX53&lt;&gt;"NA", AVERAGE(AX53,AY53), AVERAGE(AZ53,BA53))</f>
        <v>989.62500000000011</v>
      </c>
      <c r="CF53">
        <v>5</v>
      </c>
      <c r="CG53" s="27">
        <f>(CF53/N53)/IF(AX53&lt;&gt;"NA", AX53,AY53)</f>
        <v>0.1176470588235294</v>
      </c>
      <c r="CH53">
        <f>CF53/N53</f>
        <v>71.428571428571416</v>
      </c>
    </row>
    <row r="54" spans="1:86" ht="15.6" x14ac:dyDescent="0.3">
      <c r="A54">
        <v>53</v>
      </c>
      <c r="B54" s="35" t="s">
        <v>372</v>
      </c>
      <c r="C54" t="s">
        <v>134</v>
      </c>
      <c r="D54" s="29">
        <v>-2.3597060000000001</v>
      </c>
      <c r="E54" s="29">
        <v>28.888802999999999</v>
      </c>
      <c r="F54" s="24">
        <v>1471</v>
      </c>
      <c r="G54" s="36" t="s">
        <v>319</v>
      </c>
      <c r="H54" s="36" t="s">
        <v>320</v>
      </c>
      <c r="I54" s="24">
        <v>41</v>
      </c>
      <c r="J54" s="24" t="s">
        <v>91</v>
      </c>
      <c r="K54" s="24" t="s">
        <v>343</v>
      </c>
      <c r="L54" s="24" t="s">
        <v>343</v>
      </c>
      <c r="M54" s="24">
        <f>29*22/10000</f>
        <v>6.3799999999999996E-2</v>
      </c>
      <c r="N54" s="24">
        <f t="shared" si="3"/>
        <v>6.3799999999999996E-2</v>
      </c>
      <c r="O54" s="24" t="s">
        <v>373</v>
      </c>
      <c r="P54" s="24" t="s">
        <v>117</v>
      </c>
      <c r="Q54" s="24">
        <v>40</v>
      </c>
      <c r="R54" s="31">
        <v>44835</v>
      </c>
      <c r="S54" s="19">
        <v>44960</v>
      </c>
      <c r="T54" s="24" t="s">
        <v>373</v>
      </c>
      <c r="U54" s="24" t="s">
        <v>165</v>
      </c>
      <c r="V54" s="24" t="s">
        <v>324</v>
      </c>
      <c r="W54" s="24">
        <v>20</v>
      </c>
      <c r="X54" s="24" t="s">
        <v>100</v>
      </c>
      <c r="Y54" s="24" t="s">
        <v>101</v>
      </c>
      <c r="Z54" s="24">
        <v>1</v>
      </c>
      <c r="AA54" s="24" t="s">
        <v>366</v>
      </c>
      <c r="AB54" s="24" t="s">
        <v>326</v>
      </c>
      <c r="AC54" s="24" t="s">
        <v>100</v>
      </c>
      <c r="AD54" s="24">
        <v>7.5</v>
      </c>
      <c r="AE54" s="24">
        <f t="shared" si="0"/>
        <v>293.88714733542321</v>
      </c>
      <c r="AF54" s="24" t="s">
        <v>96</v>
      </c>
      <c r="AG54" s="24" t="s">
        <v>101</v>
      </c>
      <c r="AH54" s="24" t="s">
        <v>374</v>
      </c>
      <c r="AI54" s="24" t="s">
        <v>103</v>
      </c>
      <c r="AJ54" s="24" t="s">
        <v>375</v>
      </c>
      <c r="AK54" s="24" t="s">
        <v>366</v>
      </c>
      <c r="AL54" s="24" t="s">
        <v>330</v>
      </c>
      <c r="AM54" s="24">
        <v>1</v>
      </c>
      <c r="AN54" s="24" t="s">
        <v>331</v>
      </c>
      <c r="AO54" s="25" t="s">
        <v>90</v>
      </c>
      <c r="AP54" s="24" t="s">
        <v>376</v>
      </c>
      <c r="AQ54" s="24" t="s">
        <v>377</v>
      </c>
      <c r="AR54" s="24">
        <v>35</v>
      </c>
      <c r="AS54" s="24" t="s">
        <v>324</v>
      </c>
      <c r="AT54" s="24" t="s">
        <v>378</v>
      </c>
      <c r="AU54" s="24" t="s">
        <v>379</v>
      </c>
      <c r="AV54" s="24" t="s">
        <v>335</v>
      </c>
      <c r="AW54" s="24" t="s">
        <v>380</v>
      </c>
      <c r="AX54" s="24">
        <f>120/$M54</f>
        <v>1880.8777429467086</v>
      </c>
      <c r="AY54" s="24">
        <f>(60/$M54)</f>
        <v>940.43887147335431</v>
      </c>
      <c r="AZ54" s="24">
        <f>AX54+AX54*((100-Q54)/100)</f>
        <v>3009.4043887147336</v>
      </c>
      <c r="BA54" s="24">
        <f>AY54+AY54*((100-Q54)/100)</f>
        <v>1504.7021943573668</v>
      </c>
      <c r="BB54" s="24">
        <f>(140/$M54)</f>
        <v>2194.3573667711598</v>
      </c>
      <c r="BC54" s="24">
        <f>BB54+(BB54*Q54)/(100-Q54)</f>
        <v>3657.2622779519334</v>
      </c>
      <c r="BD54" s="24">
        <f>(30/$M54)</f>
        <v>470.21943573667716</v>
      </c>
      <c r="BE54" s="24">
        <f>BD54+(BD54*Q54)/(100-Q54)</f>
        <v>783.69905956112859</v>
      </c>
      <c r="BF54" s="24">
        <f>AX54/AZ54+BD54/BE54+AY54/BA54+BB54/BC54</f>
        <v>2.4500000000000002</v>
      </c>
      <c r="BG54" s="24">
        <v>2200</v>
      </c>
      <c r="BH54" s="24" t="s">
        <v>90</v>
      </c>
      <c r="BI54" s="24" t="s">
        <v>381</v>
      </c>
      <c r="BJ54" s="24" t="s">
        <v>382</v>
      </c>
      <c r="BK54" s="24" t="s">
        <v>383</v>
      </c>
      <c r="BL54" s="24">
        <v>13</v>
      </c>
      <c r="BM54" s="24" t="s">
        <v>384</v>
      </c>
      <c r="BN54" t="s">
        <v>110</v>
      </c>
      <c r="BO54">
        <v>0</v>
      </c>
      <c r="BP54" t="s">
        <v>132</v>
      </c>
      <c r="BQ54" t="s">
        <v>371</v>
      </c>
      <c r="BR54">
        <v>5.7917676785132999</v>
      </c>
      <c r="BS54" s="24">
        <v>0.208235384051112</v>
      </c>
      <c r="BT54" s="26"/>
      <c r="BU54" s="26"/>
      <c r="BV54" s="26"/>
      <c r="BW54" s="26" t="s">
        <v>71</v>
      </c>
      <c r="BX54" s="26">
        <v>63</v>
      </c>
      <c r="BY54" s="26">
        <v>59.670078241986239</v>
      </c>
      <c r="BZ54" s="26">
        <v>85.329921758013768</v>
      </c>
      <c r="CA54" s="26">
        <v>145</v>
      </c>
      <c r="CB54">
        <f>IF(AZ54&lt;&gt;"NA",(10000/AZ54)*(125/365),(10000/BA54)*(125/365))</f>
        <v>1.1379851598173514</v>
      </c>
      <c r="CC54">
        <f>IF(BA54&lt;&gt;"NA",(10000/BA54)*(125/365),(10000/AZ54)*(125/365))</f>
        <v>2.2759703196347028</v>
      </c>
      <c r="CD54">
        <f>AE54/AVERAGE(AZ54,BA54)</f>
        <v>0.13020833333333334</v>
      </c>
      <c r="CE54">
        <f>1.911*IF(AX54&lt;&gt;"NA", AVERAGE(AX54,AY54), AVERAGE(AZ54,BA54))</f>
        <v>2695.7680250783706</v>
      </c>
      <c r="CF54">
        <v>12</v>
      </c>
      <c r="CG54" s="27">
        <f>(CF54/N54)/IF(AX54&lt;&gt;"NA", AX54,AY54)</f>
        <v>9.9999999999999992E-2</v>
      </c>
      <c r="CH54">
        <f>CF54/N54</f>
        <v>188.08777429467085</v>
      </c>
    </row>
    <row r="55" spans="1:86" ht="15.6" x14ac:dyDescent="0.3">
      <c r="A55">
        <v>54</v>
      </c>
      <c r="B55" s="35" t="s">
        <v>385</v>
      </c>
      <c r="C55" t="s">
        <v>87</v>
      </c>
      <c r="D55" s="29">
        <v>-2.318003</v>
      </c>
      <c r="E55" s="29">
        <v>28.917152000000002</v>
      </c>
      <c r="F55" s="24">
        <v>1489</v>
      </c>
      <c r="G55" s="36" t="s">
        <v>319</v>
      </c>
      <c r="H55" s="36" t="s">
        <v>320</v>
      </c>
      <c r="I55" s="24">
        <v>50</v>
      </c>
      <c r="J55" s="24" t="s">
        <v>91</v>
      </c>
      <c r="K55" s="24" t="s">
        <v>386</v>
      </c>
      <c r="L55" s="24" t="s">
        <v>363</v>
      </c>
      <c r="M55" s="24">
        <f>79*29.5/10000</f>
        <v>0.23305000000000001</v>
      </c>
      <c r="N55" s="24">
        <f t="shared" si="3"/>
        <v>0.23305000000000001</v>
      </c>
      <c r="O55" s="24" t="s">
        <v>387</v>
      </c>
      <c r="P55" s="24" t="s">
        <v>93</v>
      </c>
      <c r="Q55" s="24">
        <v>60</v>
      </c>
      <c r="R55" s="31">
        <v>44835</v>
      </c>
      <c r="S55" s="31">
        <v>44982</v>
      </c>
      <c r="T55" s="24" t="s">
        <v>264</v>
      </c>
      <c r="U55" s="24" t="s">
        <v>388</v>
      </c>
      <c r="V55" s="24" t="s">
        <v>324</v>
      </c>
      <c r="W55" s="24">
        <v>20</v>
      </c>
      <c r="X55" s="24" t="s">
        <v>100</v>
      </c>
      <c r="Y55" s="24" t="s">
        <v>101</v>
      </c>
      <c r="Z55" s="24">
        <v>1</v>
      </c>
      <c r="AA55" s="24" t="s">
        <v>389</v>
      </c>
      <c r="AB55" s="24" t="s">
        <v>326</v>
      </c>
      <c r="AC55" s="25" t="s">
        <v>90</v>
      </c>
      <c r="AD55" s="24">
        <v>11</v>
      </c>
      <c r="AE55" s="24">
        <f t="shared" si="0"/>
        <v>78.66695272831295</v>
      </c>
      <c r="AF55" s="24" t="s">
        <v>96</v>
      </c>
      <c r="AG55" s="24" t="s">
        <v>101</v>
      </c>
      <c r="AH55" s="24" t="s">
        <v>327</v>
      </c>
      <c r="AI55" s="25" t="s">
        <v>90</v>
      </c>
      <c r="AJ55" s="24" t="s">
        <v>390</v>
      </c>
      <c r="AK55" s="24" t="s">
        <v>329</v>
      </c>
      <c r="AL55" s="24" t="s">
        <v>391</v>
      </c>
      <c r="AM55" s="24">
        <v>2</v>
      </c>
      <c r="AN55" s="24" t="s">
        <v>331</v>
      </c>
      <c r="AO55" s="25" t="s">
        <v>90</v>
      </c>
      <c r="AP55" s="24" t="s">
        <v>332</v>
      </c>
      <c r="AQ55" s="24" t="s">
        <v>392</v>
      </c>
      <c r="AR55" s="24" t="s">
        <v>393</v>
      </c>
      <c r="AS55" s="24" t="s">
        <v>324</v>
      </c>
      <c r="AT55" s="24" t="s">
        <v>394</v>
      </c>
      <c r="AU55" s="24" t="s">
        <v>96</v>
      </c>
      <c r="AV55" s="24" t="s">
        <v>357</v>
      </c>
      <c r="AW55" s="24" t="s">
        <v>395</v>
      </c>
      <c r="AX55" s="24">
        <f>(100/$M55)</f>
        <v>429.09246942716152</v>
      </c>
      <c r="AY55" s="24">
        <f>(45/$M55)</f>
        <v>193.09161124222268</v>
      </c>
      <c r="AZ55" s="24">
        <f>AX55+AX55*((100-Q55)/100)</f>
        <v>600.72945719802613</v>
      </c>
      <c r="BA55" s="24">
        <f>AY55+AY55*((100-Q55)/100)</f>
        <v>270.3282557391118</v>
      </c>
      <c r="BB55" s="24">
        <f>(300/$M55)</f>
        <v>1287.2774082814847</v>
      </c>
      <c r="BC55" s="24">
        <f>BB55+(BB55*Q55)/(100-Q55)</f>
        <v>3218.1935207037118</v>
      </c>
      <c r="BD55" s="24">
        <f>(40/$M55)</f>
        <v>171.63698777086461</v>
      </c>
      <c r="BE55" s="24">
        <f>BD55+(BD55*Q55)/(100-Q55)</f>
        <v>429.09246942716152</v>
      </c>
      <c r="BF55" s="24">
        <f>AX55/AZ55+BD55/BE55</f>
        <v>1.1142857142857143</v>
      </c>
      <c r="BG55" s="24">
        <v>1800</v>
      </c>
      <c r="BH55" s="25" t="s">
        <v>90</v>
      </c>
      <c r="BI55" s="24" t="s">
        <v>396</v>
      </c>
      <c r="BJ55" s="24" t="s">
        <v>337</v>
      </c>
      <c r="BK55" s="24" t="s">
        <v>359</v>
      </c>
      <c r="BL55" s="24">
        <v>13</v>
      </c>
      <c r="BM55" s="24" t="s">
        <v>397</v>
      </c>
      <c r="BN55" t="s">
        <v>110</v>
      </c>
      <c r="BO55">
        <v>1</v>
      </c>
      <c r="BP55" s="24" t="s">
        <v>339</v>
      </c>
      <c r="BQ55" t="s">
        <v>340</v>
      </c>
      <c r="BR55">
        <v>5.23</v>
      </c>
      <c r="BS55" s="24">
        <v>0.20730000000000001</v>
      </c>
      <c r="BT55" s="26">
        <v>14.343475720000001</v>
      </c>
      <c r="BU55" s="26">
        <v>85.086154000000008</v>
      </c>
      <c r="BV55" s="26">
        <v>0.57036324999999999</v>
      </c>
      <c r="BW55" s="26" t="s">
        <v>163</v>
      </c>
      <c r="BX55" s="26">
        <v>88</v>
      </c>
      <c r="BY55" s="26">
        <v>76.803999999999988</v>
      </c>
      <c r="BZ55" s="26">
        <v>68.196000000000012</v>
      </c>
      <c r="CA55" s="26">
        <v>145</v>
      </c>
      <c r="CB55">
        <f>IF(AZ55&lt;&gt;"NA",(10000/AZ55)*(125/365),(10000/BA55)*(125/365))</f>
        <v>5.7008317025440309</v>
      </c>
      <c r="CC55">
        <f>IF(BA55&lt;&gt;"NA",(10000/BA55)*(125/365),(10000/AZ55)*(125/365))</f>
        <v>12.668514894542289</v>
      </c>
      <c r="CD55">
        <f>AE55/AVERAGE(AZ55,BA55)</f>
        <v>0.180623973727422</v>
      </c>
      <c r="CE55">
        <f>1.911*IF(AX55&lt;&gt;"NA", AVERAGE(AX55,AY55), AVERAGE(AZ55,BA55))</f>
        <v>594.4968890795966</v>
      </c>
      <c r="CF55">
        <v>20</v>
      </c>
      <c r="CG55" s="27">
        <f>(CF55/N55)/IF(AX55&lt;&gt;"NA", AX55,AY55)</f>
        <v>0.2</v>
      </c>
      <c r="CH55">
        <f>CF55/N55</f>
        <v>85.818493885432304</v>
      </c>
    </row>
    <row r="56" spans="1:86" ht="15.6" x14ac:dyDescent="0.3">
      <c r="A56">
        <v>55</v>
      </c>
      <c r="B56" s="35" t="s">
        <v>398</v>
      </c>
      <c r="C56" t="s">
        <v>87</v>
      </c>
      <c r="D56" s="29">
        <v>-2.3133330000000001</v>
      </c>
      <c r="E56" s="29">
        <v>28.921389000000001</v>
      </c>
      <c r="F56" s="24">
        <v>1470</v>
      </c>
      <c r="G56" s="36" t="s">
        <v>319</v>
      </c>
      <c r="H56" s="36" t="s">
        <v>320</v>
      </c>
      <c r="I56" s="24">
        <v>76</v>
      </c>
      <c r="J56" s="24" t="s">
        <v>91</v>
      </c>
      <c r="K56" s="24" t="s">
        <v>399</v>
      </c>
      <c r="L56" s="24" t="s">
        <v>400</v>
      </c>
      <c r="M56" s="24">
        <f>71*43/10000</f>
        <v>0.30530000000000002</v>
      </c>
      <c r="N56" s="24">
        <f t="shared" si="3"/>
        <v>0.30530000000000002</v>
      </c>
      <c r="O56" s="24" t="s">
        <v>400</v>
      </c>
      <c r="P56" s="24" t="s">
        <v>93</v>
      </c>
      <c r="Q56" s="24">
        <v>85</v>
      </c>
      <c r="R56" s="37">
        <v>44835</v>
      </c>
      <c r="S56" s="31">
        <v>44970</v>
      </c>
      <c r="T56" s="24" t="s">
        <v>92</v>
      </c>
      <c r="U56" s="24" t="s">
        <v>401</v>
      </c>
      <c r="V56" s="24" t="s">
        <v>324</v>
      </c>
      <c r="W56" s="24">
        <v>20</v>
      </c>
      <c r="X56" s="24" t="s">
        <v>100</v>
      </c>
      <c r="Y56" s="24" t="s">
        <v>101</v>
      </c>
      <c r="Z56" s="24">
        <v>1</v>
      </c>
      <c r="AA56" s="24" t="s">
        <v>389</v>
      </c>
      <c r="AB56" s="24" t="s">
        <v>326</v>
      </c>
      <c r="AC56" s="25" t="s">
        <v>90</v>
      </c>
      <c r="AD56" s="24">
        <v>16.5</v>
      </c>
      <c r="AE56" s="24">
        <f t="shared" si="0"/>
        <v>63.58258993082984</v>
      </c>
      <c r="AF56" s="24" t="s">
        <v>96</v>
      </c>
      <c r="AG56" s="24" t="s">
        <v>101</v>
      </c>
      <c r="AH56" s="24" t="s">
        <v>402</v>
      </c>
      <c r="AI56" s="25" t="s">
        <v>90</v>
      </c>
      <c r="AJ56" s="24" t="s">
        <v>390</v>
      </c>
      <c r="AK56" s="24" t="s">
        <v>329</v>
      </c>
      <c r="AL56" s="24" t="s">
        <v>403</v>
      </c>
      <c r="AM56" s="24" t="s">
        <v>329</v>
      </c>
      <c r="AN56" s="24" t="s">
        <v>331</v>
      </c>
      <c r="AO56" s="25" t="s">
        <v>90</v>
      </c>
      <c r="AP56" s="24" t="s">
        <v>392</v>
      </c>
      <c r="AQ56" s="24" t="s">
        <v>404</v>
      </c>
      <c r="AR56" s="24">
        <v>90</v>
      </c>
      <c r="AS56" s="24" t="s">
        <v>324</v>
      </c>
      <c r="AT56" s="24" t="s">
        <v>405</v>
      </c>
      <c r="AU56" s="24" t="s">
        <v>406</v>
      </c>
      <c r="AV56" s="24" t="s">
        <v>357</v>
      </c>
      <c r="AW56" s="24" t="s">
        <v>336</v>
      </c>
      <c r="AX56" s="24">
        <f>(90/$M56)</f>
        <v>294.79200786112017</v>
      </c>
      <c r="AY56" s="24">
        <f>(35/$M56)</f>
        <v>114.64133639043563</v>
      </c>
      <c r="AZ56" s="24">
        <f>AX56+AX56*((100-Q56)/100)</f>
        <v>339.01080904028822</v>
      </c>
      <c r="BA56" s="24">
        <f>AY56+AY56*((100-Q56)/100)</f>
        <v>131.83753684900097</v>
      </c>
      <c r="BB56" s="24">
        <f>(240/$M56)</f>
        <v>786.11202096298723</v>
      </c>
      <c r="BC56" s="24">
        <f>BB56+(BB56*Q56)/(100-Q56)</f>
        <v>5240.7468064199147</v>
      </c>
      <c r="BD56" s="24">
        <f>(20/$M56)</f>
        <v>65.509335080248931</v>
      </c>
      <c r="BE56" s="24">
        <f>BD56+(BD56*Q56)/(100-Q56)</f>
        <v>436.72890053499287</v>
      </c>
      <c r="BF56" s="24">
        <f>AX56/AZ56+AY56/BA56+BB56/BC56+BD56/BE56</f>
        <v>2.0391304347826087</v>
      </c>
      <c r="BG56" s="24">
        <v>1800</v>
      </c>
      <c r="BH56" s="25" t="s">
        <v>90</v>
      </c>
      <c r="BI56" s="25" t="s">
        <v>90</v>
      </c>
      <c r="BJ56" s="24" t="s">
        <v>337</v>
      </c>
      <c r="BK56" s="24" t="s">
        <v>359</v>
      </c>
      <c r="BL56" s="24">
        <v>13</v>
      </c>
      <c r="BM56" s="24" t="s">
        <v>397</v>
      </c>
      <c r="BN56" t="s">
        <v>110</v>
      </c>
      <c r="BO56">
        <v>1</v>
      </c>
      <c r="BP56" s="24" t="s">
        <v>339</v>
      </c>
      <c r="BQ56" t="s">
        <v>340</v>
      </c>
      <c r="BR56">
        <v>4.6500000000000004</v>
      </c>
      <c r="BS56" s="24">
        <v>0.1951</v>
      </c>
      <c r="BT56" s="26">
        <v>14.82047511</v>
      </c>
      <c r="BU56" s="26">
        <v>84.740599000000003</v>
      </c>
      <c r="BV56" s="26">
        <v>0.43890847</v>
      </c>
      <c r="BW56" s="26" t="s">
        <v>163</v>
      </c>
      <c r="BX56" s="26">
        <v>88</v>
      </c>
      <c r="BY56" s="26">
        <v>61.571999999999996</v>
      </c>
      <c r="BZ56" s="26">
        <v>83.427999999999997</v>
      </c>
      <c r="CA56" s="26">
        <v>145</v>
      </c>
      <c r="CB56">
        <f>IF(AZ56&lt;&gt;"NA",(10000/AZ56)*(125/365),(10000/BA56)*(125/365))</f>
        <v>10.101912514062603</v>
      </c>
      <c r="CC56">
        <f>IF(BA56&lt;&gt;"NA",(10000/BA56)*(125/365),(10000/AZ56)*(125/365))</f>
        <v>25.976346464732408</v>
      </c>
      <c r="CD56">
        <f>AE56/AVERAGE(AZ56,BA56)</f>
        <v>0.27007672634271096</v>
      </c>
      <c r="CE56">
        <f>1.911*IF(AX56&lt;&gt;"NA", AVERAGE(AX56,AY56), AVERAGE(AZ56,BA56))</f>
        <v>391.21356043236159</v>
      </c>
      <c r="CF56">
        <v>10</v>
      </c>
      <c r="CG56" s="27">
        <f>(CF56/N56)/IF(AX56&lt;&gt;"NA", AX56,AY56)</f>
        <v>0.11111111111111112</v>
      </c>
      <c r="CH56">
        <f>CF56/N56</f>
        <v>32.754667540124466</v>
      </c>
    </row>
    <row r="57" spans="1:86" ht="15" customHeight="1" x14ac:dyDescent="0.3">
      <c r="A57">
        <v>56</v>
      </c>
      <c r="B57" s="35" t="s">
        <v>407</v>
      </c>
      <c r="C57" t="s">
        <v>87</v>
      </c>
      <c r="D57" s="29">
        <v>-2.3176022999999999</v>
      </c>
      <c r="E57" s="29">
        <v>28.9287025</v>
      </c>
      <c r="F57" s="24">
        <v>1491</v>
      </c>
      <c r="G57" s="36" t="s">
        <v>319</v>
      </c>
      <c r="H57" s="36" t="s">
        <v>320</v>
      </c>
      <c r="I57" s="24">
        <v>68</v>
      </c>
      <c r="J57" s="24" t="s">
        <v>115</v>
      </c>
      <c r="K57" s="24" t="s">
        <v>92</v>
      </c>
      <c r="L57" s="24" t="s">
        <v>408</v>
      </c>
      <c r="M57" s="24">
        <f>50*50/10000</f>
        <v>0.25</v>
      </c>
      <c r="N57" s="24">
        <f t="shared" si="3"/>
        <v>0.25</v>
      </c>
      <c r="O57" s="24" t="s">
        <v>408</v>
      </c>
      <c r="P57" s="24" t="s">
        <v>93</v>
      </c>
      <c r="Q57" s="24">
        <v>70</v>
      </c>
      <c r="R57" s="31">
        <v>44829</v>
      </c>
      <c r="S57" s="31">
        <v>44984</v>
      </c>
      <c r="T57" s="24" t="s">
        <v>264</v>
      </c>
      <c r="U57" s="24" t="s">
        <v>92</v>
      </c>
      <c r="V57" s="24" t="s">
        <v>324</v>
      </c>
      <c r="W57" s="24">
        <v>20</v>
      </c>
      <c r="X57" s="24" t="s">
        <v>100</v>
      </c>
      <c r="Y57" s="24" t="s">
        <v>101</v>
      </c>
      <c r="Z57" s="24">
        <v>1</v>
      </c>
      <c r="AA57" s="24" t="s">
        <v>366</v>
      </c>
      <c r="AB57" s="24" t="s">
        <v>409</v>
      </c>
      <c r="AC57" s="25" t="s">
        <v>90</v>
      </c>
      <c r="AD57" s="24">
        <v>4.5</v>
      </c>
      <c r="AE57" s="24">
        <f t="shared" si="0"/>
        <v>25.714285714285715</v>
      </c>
      <c r="AF57" s="24" t="s">
        <v>96</v>
      </c>
      <c r="AG57" s="24" t="s">
        <v>101</v>
      </c>
      <c r="AH57" s="25" t="s">
        <v>90</v>
      </c>
      <c r="AI57" s="25" t="s">
        <v>90</v>
      </c>
      <c r="AJ57" s="24" t="s">
        <v>390</v>
      </c>
      <c r="AK57" s="24">
        <v>3120</v>
      </c>
      <c r="AL57" s="24" t="s">
        <v>410</v>
      </c>
      <c r="AM57" s="24">
        <v>2</v>
      </c>
      <c r="AN57" s="24" t="s">
        <v>331</v>
      </c>
      <c r="AO57" s="25" t="s">
        <v>90</v>
      </c>
      <c r="AP57" s="24" t="s">
        <v>332</v>
      </c>
      <c r="AQ57" s="24" t="s">
        <v>332</v>
      </c>
      <c r="AR57" s="24" t="s">
        <v>346</v>
      </c>
      <c r="AS57" s="24" t="s">
        <v>96</v>
      </c>
      <c r="AT57" s="24" t="s">
        <v>355</v>
      </c>
      <c r="AU57" s="24" t="s">
        <v>411</v>
      </c>
      <c r="AV57" s="24" t="s">
        <v>357</v>
      </c>
      <c r="AW57" s="24" t="s">
        <v>336</v>
      </c>
      <c r="AX57" s="24">
        <f>(75/$M57)</f>
        <v>300</v>
      </c>
      <c r="AY57" s="24">
        <f>(94/$M57)</f>
        <v>376</v>
      </c>
      <c r="AZ57" s="24">
        <f>AX57+AX57*((100-Q57)/100)</f>
        <v>390</v>
      </c>
      <c r="BA57" s="24">
        <f>AY57+AY57*((100-Q57)/100)</f>
        <v>488.8</v>
      </c>
      <c r="BB57" s="24" t="s">
        <v>90</v>
      </c>
      <c r="BC57" s="24" t="s">
        <v>90</v>
      </c>
      <c r="BD57" s="24" t="s">
        <v>90</v>
      </c>
      <c r="BE57" s="24" t="s">
        <v>90</v>
      </c>
      <c r="BF57" s="24">
        <v>1</v>
      </c>
      <c r="BG57" s="24">
        <v>1800</v>
      </c>
      <c r="BH57" s="25" t="s">
        <v>90</v>
      </c>
      <c r="BI57" s="24" t="s">
        <v>412</v>
      </c>
      <c r="BJ57" s="24" t="s">
        <v>337</v>
      </c>
      <c r="BK57" s="24" t="s">
        <v>359</v>
      </c>
      <c r="BL57" s="24">
        <v>13</v>
      </c>
      <c r="BM57" s="24" t="s">
        <v>397</v>
      </c>
      <c r="BN57" t="s">
        <v>110</v>
      </c>
      <c r="BO57">
        <v>1</v>
      </c>
      <c r="BP57" s="24" t="s">
        <v>339</v>
      </c>
      <c r="BQ57" t="s">
        <v>340</v>
      </c>
      <c r="BR57">
        <v>5.14</v>
      </c>
      <c r="BS57" s="24">
        <v>0.18720000000000001</v>
      </c>
      <c r="BT57" s="26">
        <v>57.325775</v>
      </c>
      <c r="BU57" s="26">
        <v>31.184287999999999</v>
      </c>
      <c r="BV57" s="26">
        <v>11.49001</v>
      </c>
      <c r="BW57" s="26" t="s">
        <v>71</v>
      </c>
      <c r="BX57" s="26">
        <v>63</v>
      </c>
      <c r="BY57" s="26">
        <v>65.911999999999992</v>
      </c>
      <c r="BZ57" s="26">
        <v>79.088000000000008</v>
      </c>
      <c r="CA57" s="26">
        <v>145</v>
      </c>
      <c r="CB57">
        <f>IF(AZ57&lt;&gt;"NA",(10000/AZ57)*(125/365),(10000/BA57)*(125/365))</f>
        <v>8.7811731647348079</v>
      </c>
      <c r="CC57">
        <f>IF(BA57&lt;&gt;"NA",(10000/BA57)*(125/365),(10000/AZ57)*(125/365))</f>
        <v>7.0062551846288361</v>
      </c>
      <c r="CD57">
        <f>AE57/AVERAGE(AZ57,BA57)</f>
        <v>5.8521360296508229E-2</v>
      </c>
      <c r="CE57">
        <f>1.911*IF(AX57&lt;&gt;"NA", AVERAGE(AX57,AY57), AVERAGE(AZ57,BA57))</f>
        <v>645.91800000000001</v>
      </c>
      <c r="CF57">
        <v>15</v>
      </c>
      <c r="CG57" s="27">
        <f>(CF57/N57)/IF(AX57&lt;&gt;"NA", AX57,AY57)</f>
        <v>0.2</v>
      </c>
      <c r="CH57">
        <f>CF57/N57</f>
        <v>60</v>
      </c>
    </row>
    <row r="58" spans="1:86" ht="15.6" x14ac:dyDescent="0.3">
      <c r="A58">
        <v>57</v>
      </c>
      <c r="B58" s="35" t="s">
        <v>413</v>
      </c>
      <c r="C58" t="s">
        <v>87</v>
      </c>
      <c r="D58" s="22">
        <v>-2.3154908000000001</v>
      </c>
      <c r="E58" s="22">
        <v>28.928677</v>
      </c>
      <c r="F58">
        <v>1470</v>
      </c>
      <c r="G58" s="36" t="s">
        <v>319</v>
      </c>
      <c r="H58" s="38" t="s">
        <v>320</v>
      </c>
      <c r="I58">
        <v>35</v>
      </c>
      <c r="J58" t="s">
        <v>91</v>
      </c>
      <c r="K58" t="s">
        <v>363</v>
      </c>
      <c r="L58" t="s">
        <v>414</v>
      </c>
      <c r="M58">
        <f>47*14/10000</f>
        <v>6.5799999999999997E-2</v>
      </c>
      <c r="N58">
        <f t="shared" si="3"/>
        <v>6.5799999999999997E-2</v>
      </c>
      <c r="O58" t="s">
        <v>363</v>
      </c>
      <c r="P58" t="s">
        <v>322</v>
      </c>
      <c r="Q58">
        <v>50</v>
      </c>
      <c r="R58" s="19">
        <v>44821</v>
      </c>
      <c r="S58" s="19">
        <v>45061</v>
      </c>
      <c r="T58" t="s">
        <v>92</v>
      </c>
      <c r="U58" t="s">
        <v>415</v>
      </c>
      <c r="V58" t="s">
        <v>324</v>
      </c>
      <c r="W58">
        <v>20</v>
      </c>
      <c r="X58" t="s">
        <v>100</v>
      </c>
      <c r="Y58" t="s">
        <v>101</v>
      </c>
      <c r="Z58">
        <v>1</v>
      </c>
      <c r="AA58" t="s">
        <v>366</v>
      </c>
      <c r="AB58" t="s">
        <v>409</v>
      </c>
      <c r="AC58" s="25" t="s">
        <v>90</v>
      </c>
      <c r="AD58">
        <v>5</v>
      </c>
      <c r="AE58" s="24">
        <f t="shared" si="0"/>
        <v>151.9756838905775</v>
      </c>
      <c r="AF58" t="s">
        <v>96</v>
      </c>
      <c r="AG58" t="s">
        <v>101</v>
      </c>
      <c r="AH58" s="25" t="s">
        <v>90</v>
      </c>
      <c r="AI58" s="25" t="s">
        <v>90</v>
      </c>
      <c r="AJ58" t="s">
        <v>390</v>
      </c>
      <c r="AK58" s="25" t="s">
        <v>90</v>
      </c>
      <c r="AL58" t="s">
        <v>410</v>
      </c>
      <c r="AM58" t="s">
        <v>329</v>
      </c>
      <c r="AN58" t="s">
        <v>331</v>
      </c>
      <c r="AO58" s="25" t="s">
        <v>90</v>
      </c>
      <c r="AP58" t="s">
        <v>332</v>
      </c>
      <c r="AQ58" t="s">
        <v>332</v>
      </c>
      <c r="AR58" t="s">
        <v>346</v>
      </c>
      <c r="AS58" t="s">
        <v>96</v>
      </c>
      <c r="AT58" t="s">
        <v>355</v>
      </c>
      <c r="AU58" t="s">
        <v>416</v>
      </c>
      <c r="AV58" t="s">
        <v>357</v>
      </c>
      <c r="AW58" t="s">
        <v>336</v>
      </c>
      <c r="AX58">
        <f>(19.5/$M58)</f>
        <v>296.35258358662617</v>
      </c>
      <c r="AY58">
        <v>270</v>
      </c>
      <c r="AZ58">
        <f>AX58+AX58*((100-Q58)/100)</f>
        <v>444.52887537993922</v>
      </c>
      <c r="BA58" t="s">
        <v>90</v>
      </c>
      <c r="BB58">
        <f>(60/$N58)</f>
        <v>911.85410334346511</v>
      </c>
      <c r="BC58">
        <f>BB58+(BB58*Q58)/(100-Q58)</f>
        <v>1823.7082066869302</v>
      </c>
      <c r="BD58" t="s">
        <v>90</v>
      </c>
      <c r="BE58" t="s">
        <v>90</v>
      </c>
      <c r="BF58">
        <f>AX58/AZ58+BB58/BC58</f>
        <v>1.1666666666666667</v>
      </c>
      <c r="BG58">
        <v>1800</v>
      </c>
      <c r="BH58" s="25" t="s">
        <v>90</v>
      </c>
      <c r="BI58" t="s">
        <v>417</v>
      </c>
      <c r="BJ58" t="s">
        <v>337</v>
      </c>
      <c r="BK58" t="s">
        <v>359</v>
      </c>
      <c r="BL58" s="24">
        <v>13</v>
      </c>
      <c r="BM58" t="s">
        <v>397</v>
      </c>
      <c r="BN58" t="s">
        <v>110</v>
      </c>
      <c r="BO58">
        <v>0</v>
      </c>
      <c r="BP58" t="s">
        <v>132</v>
      </c>
      <c r="BQ58" t="s">
        <v>371</v>
      </c>
      <c r="BR58">
        <v>5.53</v>
      </c>
      <c r="BS58" s="24">
        <v>0.2142</v>
      </c>
      <c r="BT58" s="26">
        <v>47.113188700000002</v>
      </c>
      <c r="BU58" s="26">
        <v>44.320916000000004</v>
      </c>
      <c r="BV58" s="26">
        <v>8.5659192100000006</v>
      </c>
      <c r="BW58" s="26" t="s">
        <v>418</v>
      </c>
      <c r="BX58" s="26">
        <v>63</v>
      </c>
      <c r="BY58" s="26">
        <v>65.015999999999991</v>
      </c>
      <c r="BZ58" s="26">
        <v>79.984000000000009</v>
      </c>
      <c r="CA58" s="26">
        <v>145</v>
      </c>
      <c r="CB58">
        <f>IF(AZ58&lt;&gt;"NA",(10000/AZ58)*(125/365),(10000/BA58)*(125/365))</f>
        <v>7.704015923194004</v>
      </c>
      <c r="CC58">
        <f>IF(BA58&lt;&gt;"NA",(10000/BA58)*(125/365),(10000/AZ58)*(125/365))</f>
        <v>7.704015923194004</v>
      </c>
      <c r="CD58">
        <f>AE58/AVERAGE(AZ58,BA58)</f>
        <v>0.34188034188034183</v>
      </c>
      <c r="CE58">
        <f>1.911*IF(AX58&lt;&gt;"NA", AVERAGE(AX58,AY58), AVERAGE(AZ58,BA58))</f>
        <v>541.14989361702135</v>
      </c>
      <c r="CF58">
        <v>5</v>
      </c>
      <c r="CG58" s="27">
        <f>(CF58/N58)/IF(AX58&lt;&gt;"NA", AX58,AY58)</f>
        <v>0.25641025641025639</v>
      </c>
      <c r="CH58">
        <f>CF58/N58</f>
        <v>75.98784194528875</v>
      </c>
    </row>
    <row r="59" spans="1:86" ht="15.6" x14ac:dyDescent="0.3">
      <c r="A59">
        <v>58</v>
      </c>
      <c r="B59" s="35" t="s">
        <v>419</v>
      </c>
      <c r="C59" t="s">
        <v>87</v>
      </c>
      <c r="D59" s="22">
        <v>-2.3188029999999999</v>
      </c>
      <c r="E59" s="22">
        <v>28.9256122</v>
      </c>
      <c r="F59">
        <v>1508</v>
      </c>
      <c r="G59" s="36" t="s">
        <v>319</v>
      </c>
      <c r="H59" s="38" t="s">
        <v>320</v>
      </c>
      <c r="I59" t="s">
        <v>90</v>
      </c>
      <c r="J59" t="s">
        <v>91</v>
      </c>
      <c r="K59" t="s">
        <v>420</v>
      </c>
      <c r="L59" t="s">
        <v>363</v>
      </c>
      <c r="M59">
        <f>24*17/10000</f>
        <v>4.0800000000000003E-2</v>
      </c>
      <c r="N59">
        <f t="shared" si="3"/>
        <v>4.0800000000000003E-2</v>
      </c>
      <c r="O59" t="s">
        <v>363</v>
      </c>
      <c r="P59" t="s">
        <v>344</v>
      </c>
      <c r="Q59">
        <v>50</v>
      </c>
      <c r="R59" s="25" t="s">
        <v>90</v>
      </c>
      <c r="S59" s="19">
        <v>44972</v>
      </c>
      <c r="T59" t="s">
        <v>421</v>
      </c>
      <c r="U59" t="s">
        <v>422</v>
      </c>
      <c r="V59" t="s">
        <v>324</v>
      </c>
      <c r="W59">
        <v>20</v>
      </c>
      <c r="X59" t="s">
        <v>100</v>
      </c>
      <c r="Y59" t="s">
        <v>101</v>
      </c>
      <c r="Z59">
        <v>2</v>
      </c>
      <c r="AA59" t="s">
        <v>329</v>
      </c>
      <c r="AB59" t="s">
        <v>409</v>
      </c>
      <c r="AC59" s="25" t="s">
        <v>90</v>
      </c>
      <c r="AD59">
        <v>2</v>
      </c>
      <c r="AE59" s="24">
        <f t="shared" si="0"/>
        <v>98.039215686274503</v>
      </c>
      <c r="AF59" t="s">
        <v>96</v>
      </c>
      <c r="AG59" t="s">
        <v>101</v>
      </c>
      <c r="AH59" s="25" t="s">
        <v>90</v>
      </c>
      <c r="AI59" s="25" t="s">
        <v>90</v>
      </c>
      <c r="AJ59" t="s">
        <v>390</v>
      </c>
      <c r="AK59" t="s">
        <v>329</v>
      </c>
      <c r="AL59" t="s">
        <v>423</v>
      </c>
      <c r="AM59" t="s">
        <v>329</v>
      </c>
      <c r="AN59" t="s">
        <v>331</v>
      </c>
      <c r="AO59" s="25" t="s">
        <v>90</v>
      </c>
      <c r="AP59" t="s">
        <v>424</v>
      </c>
      <c r="AQ59" t="s">
        <v>332</v>
      </c>
      <c r="AR59">
        <v>10</v>
      </c>
      <c r="AS59" t="s">
        <v>96</v>
      </c>
      <c r="AT59" t="s">
        <v>425</v>
      </c>
      <c r="AU59" t="s">
        <v>416</v>
      </c>
      <c r="AV59" t="s">
        <v>357</v>
      </c>
      <c r="AW59" t="s">
        <v>336</v>
      </c>
      <c r="AX59" t="s">
        <v>90</v>
      </c>
      <c r="AY59">
        <f>(40/$M59)</f>
        <v>980.39215686274508</v>
      </c>
      <c r="AZ59" t="s">
        <v>90</v>
      </c>
      <c r="BA59">
        <f>AY59+AY59*((100-Q59)/100)</f>
        <v>1470.5882352941176</v>
      </c>
      <c r="BB59">
        <f>(160/$M59)</f>
        <v>3921.5686274509803</v>
      </c>
      <c r="BC59">
        <f>BB59+(BB59*Q59)/(100-Q59)</f>
        <v>7843.1372549019607</v>
      </c>
      <c r="BD59" t="s">
        <v>90</v>
      </c>
      <c r="BE59" t="s">
        <v>90</v>
      </c>
      <c r="BF59">
        <f>AY59/BA59+BB59/BC59</f>
        <v>1.1666666666666667</v>
      </c>
      <c r="BG59">
        <v>1800</v>
      </c>
      <c r="BH59" s="25" t="s">
        <v>90</v>
      </c>
      <c r="BI59" t="s">
        <v>426</v>
      </c>
      <c r="BJ59" t="s">
        <v>382</v>
      </c>
      <c r="BK59" t="s">
        <v>359</v>
      </c>
      <c r="BL59" s="24">
        <v>13</v>
      </c>
      <c r="BM59" t="s">
        <v>397</v>
      </c>
      <c r="BN59" t="s">
        <v>110</v>
      </c>
      <c r="BO59">
        <v>1</v>
      </c>
      <c r="BP59" s="24" t="s">
        <v>339</v>
      </c>
      <c r="BQ59" t="s">
        <v>340</v>
      </c>
      <c r="BR59">
        <v>5.66</v>
      </c>
      <c r="BS59" s="24">
        <v>0.25740000000000002</v>
      </c>
      <c r="BT59" s="26">
        <v>25.14344788</v>
      </c>
      <c r="BU59" s="26">
        <v>56.576045000000001</v>
      </c>
      <c r="BV59" s="26">
        <v>18.28047196</v>
      </c>
      <c r="BW59" s="26" t="s">
        <v>163</v>
      </c>
      <c r="BX59" s="26">
        <v>88</v>
      </c>
      <c r="BY59" s="26">
        <v>100.604</v>
      </c>
      <c r="BZ59" s="26">
        <v>44.396000000000001</v>
      </c>
      <c r="CA59" s="26">
        <v>145</v>
      </c>
      <c r="CB59">
        <f>IF(AZ59&lt;&gt;"NA",(10000/AZ59)*(125/365),(10000/BA59)*(125/365))</f>
        <v>2.3287671232876712</v>
      </c>
      <c r="CC59">
        <f>IF(BA59&lt;&gt;"NA",(10000/BA59)*(125/365),(10000/AZ59)*(125/365))</f>
        <v>2.3287671232876712</v>
      </c>
      <c r="CD59">
        <f>AE59/AVERAGE(AZ59,BA59)</f>
        <v>6.6666666666666666E-2</v>
      </c>
      <c r="CE59">
        <f>1.911*IF(AX59&lt;&gt;"NA", AVERAGE(AX59,AY59), AVERAGE(AZ59,BA59))</f>
        <v>2810.2941176470586</v>
      </c>
      <c r="CF59">
        <v>10</v>
      </c>
      <c r="CG59" s="27">
        <f>(CF59/N59)/IF(AX59&lt;&gt;"NA", AX59,AY59)</f>
        <v>0.25</v>
      </c>
      <c r="CH59">
        <f>CF59/N59</f>
        <v>245.09803921568627</v>
      </c>
    </row>
    <row r="60" spans="1:86" ht="15.6" x14ac:dyDescent="0.3">
      <c r="A60">
        <v>59</v>
      </c>
      <c r="B60" s="35" t="s">
        <v>427</v>
      </c>
      <c r="C60" t="s">
        <v>87</v>
      </c>
      <c r="D60" s="22">
        <v>-2.3177550999999998</v>
      </c>
      <c r="E60" s="22">
        <v>28.923063800000001</v>
      </c>
      <c r="F60">
        <v>1473</v>
      </c>
      <c r="G60" s="36" t="s">
        <v>319</v>
      </c>
      <c r="H60" s="38" t="s">
        <v>320</v>
      </c>
      <c r="I60" t="s">
        <v>90</v>
      </c>
      <c r="J60" t="s">
        <v>91</v>
      </c>
      <c r="K60" t="s">
        <v>399</v>
      </c>
      <c r="L60" t="s">
        <v>363</v>
      </c>
      <c r="M60">
        <f>62*18/10000</f>
        <v>0.1116</v>
      </c>
      <c r="N60">
        <f t="shared" si="3"/>
        <v>0.1116</v>
      </c>
      <c r="O60" t="s">
        <v>400</v>
      </c>
      <c r="P60" t="s">
        <v>93</v>
      </c>
      <c r="Q60">
        <v>60</v>
      </c>
      <c r="R60" s="25" t="s">
        <v>90</v>
      </c>
      <c r="S60" s="19">
        <v>44972</v>
      </c>
      <c r="T60" t="s">
        <v>415</v>
      </c>
      <c r="U60" t="s">
        <v>428</v>
      </c>
      <c r="V60" t="s">
        <v>324</v>
      </c>
      <c r="W60">
        <v>20</v>
      </c>
      <c r="X60" t="s">
        <v>100</v>
      </c>
      <c r="Y60" t="s">
        <v>101</v>
      </c>
      <c r="Z60">
        <v>1</v>
      </c>
      <c r="AA60" t="s">
        <v>329</v>
      </c>
      <c r="AB60" t="s">
        <v>429</v>
      </c>
      <c r="AC60" s="25" t="s">
        <v>90</v>
      </c>
      <c r="AD60">
        <v>4</v>
      </c>
      <c r="AE60" s="24">
        <f t="shared" si="0"/>
        <v>59.737156511350058</v>
      </c>
      <c r="AF60" t="s">
        <v>96</v>
      </c>
      <c r="AG60" t="s">
        <v>101</v>
      </c>
      <c r="AH60" s="25" t="s">
        <v>90</v>
      </c>
      <c r="AI60" s="25" t="s">
        <v>90</v>
      </c>
      <c r="AJ60" t="s">
        <v>390</v>
      </c>
      <c r="AK60" t="s">
        <v>329</v>
      </c>
      <c r="AL60" t="s">
        <v>423</v>
      </c>
      <c r="AM60" t="s">
        <v>329</v>
      </c>
      <c r="AN60" t="s">
        <v>331</v>
      </c>
      <c r="AO60" s="25" t="s">
        <v>90</v>
      </c>
      <c r="AP60" t="s">
        <v>332</v>
      </c>
      <c r="AQ60" t="s">
        <v>332</v>
      </c>
      <c r="AR60" s="25" t="s">
        <v>90</v>
      </c>
      <c r="AS60" t="s">
        <v>324</v>
      </c>
      <c r="AT60" t="s">
        <v>355</v>
      </c>
      <c r="AU60" t="s">
        <v>430</v>
      </c>
      <c r="AV60" t="s">
        <v>357</v>
      </c>
      <c r="AW60" t="s">
        <v>336</v>
      </c>
      <c r="AX60">
        <f>(50/$M60)</f>
        <v>448.0286738351254</v>
      </c>
      <c r="AY60">
        <f>(45/$M60)</f>
        <v>403.22580645161287</v>
      </c>
      <c r="AZ60">
        <f>AX60+AX60*((100-Q60)/100)</f>
        <v>627.2401433691756</v>
      </c>
      <c r="BA60">
        <f>AY60+AY60*((100-Q60)/100)</f>
        <v>564.51612903225805</v>
      </c>
      <c r="BB60">
        <f>(120/$M60)</f>
        <v>1075.2688172043011</v>
      </c>
      <c r="BC60">
        <f>BB60+(BB60*Q60)/(100-Q60)</f>
        <v>2688.1720430107525</v>
      </c>
      <c r="BD60">
        <f>(40/$M60)</f>
        <v>358.42293906810033</v>
      </c>
      <c r="BE60">
        <f>BD60+(BD60*Q60)/(100-Q60)</f>
        <v>896.05734767025092</v>
      </c>
      <c r="BF60">
        <f>AX60/AZ60+AY60/BA60+BB60/BC60+BD60/BE60</f>
        <v>2.2285714285714282</v>
      </c>
      <c r="BG60">
        <v>1800</v>
      </c>
      <c r="BH60" s="25" t="s">
        <v>90</v>
      </c>
      <c r="BI60" t="s">
        <v>426</v>
      </c>
      <c r="BJ60" t="s">
        <v>382</v>
      </c>
      <c r="BK60" t="s">
        <v>359</v>
      </c>
      <c r="BL60" s="24">
        <v>13</v>
      </c>
      <c r="BM60" t="s">
        <v>397</v>
      </c>
      <c r="BN60" t="s">
        <v>110</v>
      </c>
      <c r="BO60">
        <v>1</v>
      </c>
      <c r="BP60" s="24" t="s">
        <v>339</v>
      </c>
      <c r="BQ60" t="s">
        <v>340</v>
      </c>
      <c r="BR60">
        <v>5.82</v>
      </c>
      <c r="BS60" s="24">
        <v>0.224</v>
      </c>
      <c r="BT60" s="26">
        <v>48.516605599999998</v>
      </c>
      <c r="BU60" s="26">
        <v>39.252654999999997</v>
      </c>
      <c r="BV60" s="26">
        <v>12.2307173</v>
      </c>
      <c r="BW60" s="26" t="s">
        <v>71</v>
      </c>
      <c r="BX60" s="26">
        <v>63</v>
      </c>
      <c r="BY60" s="26">
        <v>72.911999999999992</v>
      </c>
      <c r="BZ60" s="26">
        <v>72.088000000000008</v>
      </c>
      <c r="CA60" s="26">
        <v>145</v>
      </c>
      <c r="CB60">
        <f>IF(AZ60&lt;&gt;"NA",(10000/AZ60)*(125/365),(10000/BA60)*(125/365))</f>
        <v>5.4598825831702538</v>
      </c>
      <c r="CC60">
        <f>IF(BA60&lt;&gt;"NA",(10000/BA60)*(125/365),(10000/AZ60)*(125/365))</f>
        <v>6.0665362035225048</v>
      </c>
      <c r="CD60">
        <f>AE60/AVERAGE(AZ60,BA60)</f>
        <v>0.10025062656641603</v>
      </c>
      <c r="CE60">
        <f>1.911*IF(AX60&lt;&gt;"NA", AVERAGE(AX60,AY60), AVERAGE(AZ60,BA60))</f>
        <v>813.37365591397838</v>
      </c>
      <c r="CF60">
        <v>15</v>
      </c>
      <c r="CG60" s="27">
        <f>(CF60/N60)/IF(AX60&lt;&gt;"NA", AX60,AY60)</f>
        <v>0.30000000000000004</v>
      </c>
      <c r="CH60">
        <f>CF60/N60</f>
        <v>134.40860215053763</v>
      </c>
    </row>
    <row r="61" spans="1:86" ht="15.6" x14ac:dyDescent="0.3">
      <c r="A61">
        <v>60</v>
      </c>
      <c r="B61" s="35" t="s">
        <v>431</v>
      </c>
      <c r="C61" t="s">
        <v>87</v>
      </c>
      <c r="D61" s="22">
        <v>-2.335575</v>
      </c>
      <c r="E61" s="22">
        <v>28.915887000000001</v>
      </c>
      <c r="F61">
        <v>1549</v>
      </c>
      <c r="G61" s="36" t="s">
        <v>319</v>
      </c>
      <c r="H61" s="38" t="s">
        <v>320</v>
      </c>
      <c r="I61" t="s">
        <v>90</v>
      </c>
      <c r="J61" t="s">
        <v>91</v>
      </c>
      <c r="K61" t="s">
        <v>363</v>
      </c>
      <c r="L61" t="s">
        <v>363</v>
      </c>
      <c r="M61">
        <f>47*25/10000</f>
        <v>0.11749999999999999</v>
      </c>
      <c r="N61">
        <f t="shared" si="3"/>
        <v>0.11749999999999999</v>
      </c>
      <c r="O61" t="s">
        <v>363</v>
      </c>
      <c r="P61" t="s">
        <v>93</v>
      </c>
      <c r="Q61">
        <v>60</v>
      </c>
      <c r="R61" s="19">
        <v>44819</v>
      </c>
      <c r="S61" s="19">
        <v>44962</v>
      </c>
      <c r="T61" t="s">
        <v>415</v>
      </c>
      <c r="U61" t="s">
        <v>363</v>
      </c>
      <c r="V61" t="s">
        <v>324</v>
      </c>
      <c r="W61">
        <v>20</v>
      </c>
      <c r="X61" t="s">
        <v>100</v>
      </c>
      <c r="Y61" t="s">
        <v>101</v>
      </c>
      <c r="Z61">
        <v>1</v>
      </c>
      <c r="AA61" t="s">
        <v>329</v>
      </c>
      <c r="AB61" t="s">
        <v>429</v>
      </c>
      <c r="AC61" s="25" t="s">
        <v>90</v>
      </c>
      <c r="AD61">
        <v>4</v>
      </c>
      <c r="AE61" s="24">
        <f t="shared" si="0"/>
        <v>56.737588652482273</v>
      </c>
      <c r="AF61" t="s">
        <v>96</v>
      </c>
      <c r="AG61" t="s">
        <v>101</v>
      </c>
      <c r="AH61" s="25" t="s">
        <v>90</v>
      </c>
      <c r="AI61" s="25" t="s">
        <v>90</v>
      </c>
      <c r="AJ61" t="s">
        <v>390</v>
      </c>
      <c r="AK61" t="s">
        <v>329</v>
      </c>
      <c r="AL61" t="s">
        <v>423</v>
      </c>
      <c r="AM61" t="s">
        <v>329</v>
      </c>
      <c r="AN61" t="s">
        <v>331</v>
      </c>
      <c r="AO61" s="25" t="s">
        <v>90</v>
      </c>
      <c r="AP61" t="s">
        <v>332</v>
      </c>
      <c r="AQ61" t="s">
        <v>332</v>
      </c>
      <c r="AR61">
        <v>20</v>
      </c>
      <c r="AS61" t="s">
        <v>324</v>
      </c>
      <c r="AT61" t="s">
        <v>425</v>
      </c>
      <c r="AU61" t="s">
        <v>432</v>
      </c>
      <c r="AV61" t="s">
        <v>357</v>
      </c>
      <c r="AW61" t="s">
        <v>336</v>
      </c>
      <c r="AX61">
        <f>(82.5/$M61)</f>
        <v>702.12765957446811</v>
      </c>
      <c r="AY61" s="51">
        <f>(60/$M61)</f>
        <v>510.63829787234044</v>
      </c>
      <c r="AZ61" s="51">
        <f>AX61+AX61*((100-Q61)/100)</f>
        <v>982.97872340425533</v>
      </c>
      <c r="BA61">
        <f>AY61+AY61*((100-Q61)/100)</f>
        <v>714.89361702127667</v>
      </c>
      <c r="BB61">
        <f>(125/$M61)</f>
        <v>1063.8297872340427</v>
      </c>
      <c r="BC61">
        <f>BB61+(BB61*Q61)/(100-Q61)</f>
        <v>2659.5744680851067</v>
      </c>
      <c r="BD61" t="s">
        <v>90</v>
      </c>
      <c r="BE61" t="s">
        <v>90</v>
      </c>
      <c r="BF61">
        <f>AX61/AZ61+AY61/BA61+BB61/BC61</f>
        <v>1.8285714285714283</v>
      </c>
      <c r="BG61">
        <v>1800</v>
      </c>
      <c r="BH61" t="s">
        <v>90</v>
      </c>
      <c r="BI61" t="s">
        <v>426</v>
      </c>
      <c r="BJ61" t="s">
        <v>434</v>
      </c>
      <c r="BK61" t="s">
        <v>435</v>
      </c>
      <c r="BL61" s="24">
        <v>13</v>
      </c>
      <c r="BM61" t="s">
        <v>397</v>
      </c>
      <c r="BN61" t="s">
        <v>110</v>
      </c>
      <c r="BO61">
        <v>1</v>
      </c>
      <c r="BP61" s="24" t="s">
        <v>339</v>
      </c>
      <c r="BQ61" t="s">
        <v>340</v>
      </c>
      <c r="BR61">
        <v>5.98</v>
      </c>
      <c r="BS61" s="24">
        <v>0.20610000000000001</v>
      </c>
      <c r="BT61" s="26">
        <v>73.183666099999996</v>
      </c>
      <c r="BU61" s="26">
        <v>26.816319499999999</v>
      </c>
      <c r="BV61" s="26">
        <v>0</v>
      </c>
      <c r="BW61" s="26" t="s">
        <v>71</v>
      </c>
      <c r="BX61" s="26">
        <v>63</v>
      </c>
      <c r="BY61" s="26">
        <v>65.087999999999994</v>
      </c>
      <c r="BZ61" s="26">
        <v>79.912000000000006</v>
      </c>
      <c r="CA61" s="26">
        <v>145</v>
      </c>
      <c r="CB61">
        <f>IF(AZ61&lt;&gt;"NA",(10000/AZ61)*(125/365),(10000/BA61)*(125/365))</f>
        <v>3.483958963411018</v>
      </c>
      <c r="CC61">
        <f>IF(BA61&lt;&gt;"NA",(10000/BA61)*(125/365),(10000/AZ61)*(125/365))</f>
        <v>4.7904435746901495</v>
      </c>
      <c r="CD61">
        <f>AE61/AVERAGE(AZ61,BA61)</f>
        <v>6.6833751044277356E-2</v>
      </c>
      <c r="CE61">
        <f>1.911*IF(AX61&lt;&gt;"NA", AVERAGE(AX61,AY61), AVERAGE(AZ61,BA61))</f>
        <v>1158.7978723404256</v>
      </c>
      <c r="CF61">
        <v>15</v>
      </c>
      <c r="CG61" s="27">
        <f>(CF61/N61)/IF(AX61&lt;&gt;"NA", AX61,AY61)</f>
        <v>0.18181818181818182</v>
      </c>
      <c r="CH61">
        <f>CF61/N61</f>
        <v>127.65957446808511</v>
      </c>
    </row>
    <row r="62" spans="1:86" ht="15.6" x14ac:dyDescent="0.3">
      <c r="A62">
        <v>61</v>
      </c>
      <c r="B62" s="35" t="s">
        <v>436</v>
      </c>
      <c r="C62" t="s">
        <v>87</v>
      </c>
      <c r="D62" s="22">
        <v>-2.3189145</v>
      </c>
      <c r="E62" s="22">
        <v>28.9263032</v>
      </c>
      <c r="F62">
        <v>1508</v>
      </c>
      <c r="G62" s="36" t="s">
        <v>319</v>
      </c>
      <c r="H62" s="38" t="s">
        <v>320</v>
      </c>
      <c r="I62">
        <v>34</v>
      </c>
      <c r="J62" t="s">
        <v>91</v>
      </c>
      <c r="K62" t="s">
        <v>437</v>
      </c>
      <c r="L62" t="s">
        <v>363</v>
      </c>
      <c r="M62">
        <f>25*20/10000</f>
        <v>0.05</v>
      </c>
      <c r="N62">
        <f t="shared" si="3"/>
        <v>0.05</v>
      </c>
      <c r="O62" t="s">
        <v>363</v>
      </c>
      <c r="P62" t="s">
        <v>344</v>
      </c>
      <c r="Q62">
        <v>50</v>
      </c>
      <c r="R62" s="19">
        <v>44829</v>
      </c>
      <c r="S62" s="19">
        <v>44964</v>
      </c>
      <c r="T62" t="s">
        <v>421</v>
      </c>
      <c r="U62" t="s">
        <v>234</v>
      </c>
      <c r="V62" t="s">
        <v>324</v>
      </c>
      <c r="W62">
        <v>20</v>
      </c>
      <c r="X62" t="s">
        <v>100</v>
      </c>
      <c r="Y62" t="s">
        <v>101</v>
      </c>
      <c r="Z62">
        <v>1</v>
      </c>
      <c r="AA62" t="s">
        <v>329</v>
      </c>
      <c r="AB62" t="s">
        <v>409</v>
      </c>
      <c r="AC62" s="25" t="s">
        <v>90</v>
      </c>
      <c r="AD62">
        <v>5</v>
      </c>
      <c r="AE62" s="24">
        <f t="shared" si="0"/>
        <v>200</v>
      </c>
      <c r="AF62" t="s">
        <v>96</v>
      </c>
      <c r="AG62" t="s">
        <v>101</v>
      </c>
      <c r="AH62" s="25" t="s">
        <v>90</v>
      </c>
      <c r="AI62" s="25" t="s">
        <v>90</v>
      </c>
      <c r="AJ62" t="s">
        <v>390</v>
      </c>
      <c r="AK62" t="s">
        <v>329</v>
      </c>
      <c r="AL62" t="s">
        <v>423</v>
      </c>
      <c r="AM62" t="s">
        <v>329</v>
      </c>
      <c r="AN62" t="s">
        <v>331</v>
      </c>
      <c r="AO62" s="25" t="s">
        <v>90</v>
      </c>
      <c r="AP62" t="s">
        <v>332</v>
      </c>
      <c r="AQ62" t="s">
        <v>424</v>
      </c>
      <c r="AR62" t="s">
        <v>346</v>
      </c>
      <c r="AS62" t="s">
        <v>96</v>
      </c>
      <c r="AT62" t="s">
        <v>355</v>
      </c>
      <c r="AU62" t="s">
        <v>96</v>
      </c>
      <c r="AV62" t="s">
        <v>357</v>
      </c>
      <c r="AW62" t="s">
        <v>336</v>
      </c>
      <c r="AX62" t="s">
        <v>90</v>
      </c>
      <c r="AY62" s="51">
        <f>(25/$M62)</f>
        <v>500</v>
      </c>
      <c r="AZ62" s="51" t="s">
        <v>90</v>
      </c>
      <c r="BA62">
        <f>AY62+AY62*((100-Q62)/100)</f>
        <v>750</v>
      </c>
      <c r="BB62">
        <f>(80/$M62)</f>
        <v>1600</v>
      </c>
      <c r="BC62">
        <f>BB62+(BB62*Q62)/(100-Q62)</f>
        <v>3200</v>
      </c>
      <c r="BD62" t="s">
        <v>90</v>
      </c>
      <c r="BE62" t="s">
        <v>90</v>
      </c>
      <c r="BF62">
        <f>AY62/BA62+BB62/BC62</f>
        <v>1.1666666666666665</v>
      </c>
      <c r="BG62">
        <v>1800</v>
      </c>
      <c r="BH62" t="s">
        <v>90</v>
      </c>
      <c r="BI62" t="s">
        <v>426</v>
      </c>
      <c r="BJ62" t="s">
        <v>438</v>
      </c>
      <c r="BK62" t="s">
        <v>359</v>
      </c>
      <c r="BL62" s="24">
        <v>13</v>
      </c>
      <c r="BM62" t="s">
        <v>397</v>
      </c>
      <c r="BN62" t="s">
        <v>110</v>
      </c>
      <c r="BO62">
        <v>1</v>
      </c>
      <c r="BP62" s="24" t="s">
        <v>339</v>
      </c>
      <c r="BQ62" t="s">
        <v>340</v>
      </c>
      <c r="BR62">
        <v>5.42</v>
      </c>
      <c r="BS62" s="24">
        <v>0.23430000000000001</v>
      </c>
      <c r="BT62" s="26">
        <v>27.14344788</v>
      </c>
      <c r="BU62" s="26">
        <v>54.576045000000001</v>
      </c>
      <c r="BV62" s="26">
        <v>18.279998899999999</v>
      </c>
      <c r="BW62" s="26" t="s">
        <v>163</v>
      </c>
      <c r="BX62" s="26">
        <v>88</v>
      </c>
      <c r="BY62" s="26">
        <v>76.328000000000003</v>
      </c>
      <c r="BZ62" s="26">
        <v>68.671999999999997</v>
      </c>
      <c r="CA62" s="26">
        <v>145</v>
      </c>
      <c r="CB62">
        <f>IF(AZ62&lt;&gt;"NA",(10000/AZ62)*(125/365),(10000/BA62)*(125/365))</f>
        <v>4.5662100456621006</v>
      </c>
      <c r="CC62">
        <f>IF(BA62&lt;&gt;"NA",(10000/BA62)*(125/365),(10000/AZ62)*(125/365))</f>
        <v>4.5662100456621006</v>
      </c>
      <c r="CD62">
        <f>AE62/AVERAGE(AZ62,BA62)</f>
        <v>0.26666666666666666</v>
      </c>
      <c r="CE62">
        <f>1.911*IF(AX62&lt;&gt;"NA", AVERAGE(AX62,AY62), AVERAGE(AZ62,BA62))</f>
        <v>1433.25</v>
      </c>
      <c r="CF62">
        <v>0</v>
      </c>
      <c r="CG62" s="27">
        <f>(CF62/N62)/IF(AX62&lt;&gt;"NA", AX62,AY62)</f>
        <v>0</v>
      </c>
      <c r="CH62">
        <f>CF62/N62</f>
        <v>0</v>
      </c>
    </row>
    <row r="63" spans="1:86" ht="15.6" x14ac:dyDescent="0.3">
      <c r="A63">
        <v>62</v>
      </c>
      <c r="B63" s="35" t="s">
        <v>439</v>
      </c>
      <c r="C63" t="s">
        <v>87</v>
      </c>
      <c r="D63" s="22">
        <v>-2.3053360000000001</v>
      </c>
      <c r="E63" s="22">
        <v>28.93835</v>
      </c>
      <c r="F63">
        <v>1520</v>
      </c>
      <c r="G63" s="36" t="s">
        <v>319</v>
      </c>
      <c r="H63" s="38" t="s">
        <v>320</v>
      </c>
      <c r="I63">
        <v>65</v>
      </c>
      <c r="J63" t="s">
        <v>115</v>
      </c>
      <c r="K63" t="s">
        <v>420</v>
      </c>
      <c r="L63" t="s">
        <v>363</v>
      </c>
      <c r="M63">
        <f>5000/10000</f>
        <v>0.5</v>
      </c>
      <c r="N63">
        <f t="shared" si="3"/>
        <v>0.5</v>
      </c>
      <c r="O63" t="s">
        <v>363</v>
      </c>
      <c r="P63" t="s">
        <v>344</v>
      </c>
      <c r="Q63">
        <v>70</v>
      </c>
      <c r="R63" s="19">
        <v>44839</v>
      </c>
      <c r="S63" s="19">
        <v>44967</v>
      </c>
      <c r="T63" t="s">
        <v>415</v>
      </c>
      <c r="U63" t="s">
        <v>440</v>
      </c>
      <c r="V63" t="s">
        <v>324</v>
      </c>
      <c r="W63">
        <v>20</v>
      </c>
      <c r="X63" t="s">
        <v>100</v>
      </c>
      <c r="Y63" t="s">
        <v>101</v>
      </c>
      <c r="Z63">
        <v>1</v>
      </c>
      <c r="AA63" t="s">
        <v>441</v>
      </c>
      <c r="AB63" t="s">
        <v>409</v>
      </c>
      <c r="AC63" s="25" t="s">
        <v>90</v>
      </c>
      <c r="AD63">
        <v>18</v>
      </c>
      <c r="AE63" s="24">
        <f t="shared" si="0"/>
        <v>51.428571428571431</v>
      </c>
      <c r="AF63" t="s">
        <v>96</v>
      </c>
      <c r="AG63" t="s">
        <v>101</v>
      </c>
      <c r="AH63" s="25" t="s">
        <v>90</v>
      </c>
      <c r="AI63" s="25" t="s">
        <v>90</v>
      </c>
      <c r="AJ63" t="s">
        <v>442</v>
      </c>
      <c r="AK63" t="s">
        <v>329</v>
      </c>
      <c r="AL63" t="s">
        <v>423</v>
      </c>
      <c r="AM63" t="s">
        <v>329</v>
      </c>
      <c r="AN63" t="s">
        <v>331</v>
      </c>
      <c r="AO63" s="25" t="s">
        <v>90</v>
      </c>
      <c r="AP63" t="s">
        <v>332</v>
      </c>
      <c r="AQ63" t="s">
        <v>332</v>
      </c>
      <c r="AR63" t="s">
        <v>346</v>
      </c>
      <c r="AS63" t="s">
        <v>96</v>
      </c>
      <c r="AT63" t="s">
        <v>355</v>
      </c>
      <c r="AU63" t="s">
        <v>416</v>
      </c>
      <c r="AV63" t="s">
        <v>357</v>
      </c>
      <c r="AW63" t="s">
        <v>336</v>
      </c>
      <c r="AX63" t="s">
        <v>90</v>
      </c>
      <c r="AY63" s="51">
        <f>(400/$M63)</f>
        <v>800</v>
      </c>
      <c r="AZ63" s="51" t="s">
        <v>90</v>
      </c>
      <c r="BA63">
        <f>AY63+AY63*((100-Q63)/100)</f>
        <v>1040</v>
      </c>
      <c r="BB63">
        <f>(280/$M63)</f>
        <v>560</v>
      </c>
      <c r="BC63">
        <f>BB63+(BB63*Q63)/(100-Q63)</f>
        <v>1866.6666666666667</v>
      </c>
      <c r="BD63" t="s">
        <v>90</v>
      </c>
      <c r="BE63" t="s">
        <v>90</v>
      </c>
      <c r="BF63">
        <f>AY63/BA63+BB63/BC63</f>
        <v>1.0692307692307692</v>
      </c>
      <c r="BG63">
        <v>1800</v>
      </c>
      <c r="BH63" t="s">
        <v>90</v>
      </c>
      <c r="BI63" t="s">
        <v>426</v>
      </c>
      <c r="BJ63" t="s">
        <v>438</v>
      </c>
      <c r="BK63" t="s">
        <v>443</v>
      </c>
      <c r="BL63" s="24">
        <v>13</v>
      </c>
      <c r="BM63" t="s">
        <v>397</v>
      </c>
      <c r="BN63" t="s">
        <v>110</v>
      </c>
      <c r="BO63">
        <v>1</v>
      </c>
      <c r="BP63" s="24" t="s">
        <v>339</v>
      </c>
      <c r="BQ63" t="s">
        <v>340</v>
      </c>
      <c r="BR63">
        <v>5.64</v>
      </c>
      <c r="BS63" s="24">
        <v>0.26340000000000002</v>
      </c>
      <c r="BT63" s="26">
        <v>53.522123200000003</v>
      </c>
      <c r="BU63" s="26">
        <v>39.252654999999997</v>
      </c>
      <c r="BV63" s="26">
        <v>7.2252217300000003</v>
      </c>
      <c r="BW63" s="26" t="s">
        <v>71</v>
      </c>
      <c r="BX63" s="26">
        <v>63</v>
      </c>
      <c r="BY63" s="26">
        <v>56.531999999999996</v>
      </c>
      <c r="BZ63" s="26">
        <v>88.468000000000004</v>
      </c>
      <c r="CA63" s="26">
        <v>145</v>
      </c>
      <c r="CB63">
        <f>IF(AZ63&lt;&gt;"NA",(10000/AZ63)*(125/365),(10000/BA63)*(125/365))</f>
        <v>3.2929399367755527</v>
      </c>
      <c r="CC63">
        <f>IF(BA63&lt;&gt;"NA",(10000/BA63)*(125/365),(10000/AZ63)*(125/365))</f>
        <v>3.2929399367755527</v>
      </c>
      <c r="CD63">
        <f>AE63/AVERAGE(AZ63,BA63)</f>
        <v>4.9450549450549455E-2</v>
      </c>
      <c r="CE63">
        <f>1.911*IF(AX63&lt;&gt;"NA", AVERAGE(AX63,AY63), AVERAGE(AZ63,BA63))</f>
        <v>1987.44</v>
      </c>
      <c r="CF63">
        <v>40</v>
      </c>
      <c r="CG63" s="27">
        <f>(CF63/N63)/IF(AX63&lt;&gt;"NA", AX63,AY63)</f>
        <v>0.1</v>
      </c>
      <c r="CH63">
        <f>CF63/N63</f>
        <v>80</v>
      </c>
    </row>
    <row r="64" spans="1:86" ht="15.6" x14ac:dyDescent="0.3">
      <c r="A64">
        <v>63</v>
      </c>
      <c r="B64" s="35" t="s">
        <v>444</v>
      </c>
      <c r="C64" t="s">
        <v>87</v>
      </c>
      <c r="D64" s="22">
        <v>-2.3065790000000002</v>
      </c>
      <c r="E64" s="22">
        <v>28.938218599999999</v>
      </c>
      <c r="F64">
        <v>1524</v>
      </c>
      <c r="G64" s="36" t="s">
        <v>319</v>
      </c>
      <c r="H64" s="38" t="s">
        <v>320</v>
      </c>
      <c r="I64">
        <v>35</v>
      </c>
      <c r="J64" t="s">
        <v>91</v>
      </c>
      <c r="K64" t="s">
        <v>363</v>
      </c>
      <c r="L64" t="s">
        <v>445</v>
      </c>
      <c r="M64">
        <f>60*50/10000</f>
        <v>0.3</v>
      </c>
      <c r="N64">
        <f t="shared" si="3"/>
        <v>0.3</v>
      </c>
      <c r="O64" t="s">
        <v>445</v>
      </c>
      <c r="P64" t="s">
        <v>93</v>
      </c>
      <c r="Q64">
        <v>70</v>
      </c>
      <c r="R64" s="19">
        <v>44836</v>
      </c>
      <c r="S64" s="19">
        <v>44986</v>
      </c>
      <c r="T64" t="s">
        <v>415</v>
      </c>
      <c r="U64" t="s">
        <v>92</v>
      </c>
      <c r="V64" t="s">
        <v>324</v>
      </c>
      <c r="W64">
        <v>20</v>
      </c>
      <c r="X64" t="s">
        <v>100</v>
      </c>
      <c r="Y64" t="s">
        <v>101</v>
      </c>
      <c r="Z64">
        <v>1</v>
      </c>
      <c r="AA64" t="s">
        <v>329</v>
      </c>
      <c r="AB64" t="s">
        <v>429</v>
      </c>
      <c r="AC64" s="25" t="s">
        <v>90</v>
      </c>
      <c r="AD64">
        <v>13.5</v>
      </c>
      <c r="AE64" s="24">
        <f t="shared" si="0"/>
        <v>64.285714285714292</v>
      </c>
      <c r="AF64" t="s">
        <v>96</v>
      </c>
      <c r="AG64" t="s">
        <v>101</v>
      </c>
      <c r="AH64" s="25" t="s">
        <v>90</v>
      </c>
      <c r="AI64" s="25" t="s">
        <v>90</v>
      </c>
      <c r="AJ64" t="s">
        <v>390</v>
      </c>
      <c r="AK64" t="s">
        <v>329</v>
      </c>
      <c r="AL64" t="s">
        <v>423</v>
      </c>
      <c r="AM64" t="s">
        <v>329</v>
      </c>
      <c r="AN64" t="s">
        <v>331</v>
      </c>
      <c r="AO64" s="25" t="s">
        <v>90</v>
      </c>
      <c r="AP64" t="s">
        <v>446</v>
      </c>
      <c r="AQ64" t="s">
        <v>446</v>
      </c>
      <c r="AR64" t="s">
        <v>346</v>
      </c>
      <c r="AS64" t="s">
        <v>96</v>
      </c>
      <c r="AT64" t="s">
        <v>355</v>
      </c>
      <c r="AU64" t="s">
        <v>447</v>
      </c>
      <c r="AV64" t="s">
        <v>357</v>
      </c>
      <c r="AW64" t="s">
        <v>336</v>
      </c>
      <c r="AX64">
        <f>(90/$M64)</f>
        <v>300</v>
      </c>
      <c r="AY64" s="51">
        <f>(45/$M64)</f>
        <v>150</v>
      </c>
      <c r="AZ64" s="51">
        <f>AX64+AX64*((100-Q64)/100)</f>
        <v>390</v>
      </c>
      <c r="BA64">
        <f>AY64+AY64*((100-Q64)/100)</f>
        <v>195</v>
      </c>
      <c r="BB64">
        <f>(200/$M64)</f>
        <v>666.66666666666674</v>
      </c>
      <c r="BC64">
        <f>BB64+(BB64*Q64)/(100-Q64)</f>
        <v>2222.2222222222226</v>
      </c>
      <c r="BD64">
        <f>(50/$M64)</f>
        <v>166.66666666666669</v>
      </c>
      <c r="BE64">
        <f>BD64+(BD64*Q64)/(100-Q64)</f>
        <v>555.55555555555566</v>
      </c>
      <c r="BF64">
        <f>AX64/AZ64+BD64/BE64</f>
        <v>1.0692307692307692</v>
      </c>
      <c r="BG64">
        <v>1800</v>
      </c>
      <c r="BH64" s="25" t="s">
        <v>90</v>
      </c>
      <c r="BI64" t="s">
        <v>426</v>
      </c>
      <c r="BJ64" t="s">
        <v>382</v>
      </c>
      <c r="BK64" t="s">
        <v>383</v>
      </c>
      <c r="BL64" s="24">
        <v>13</v>
      </c>
      <c r="BM64" t="s">
        <v>397</v>
      </c>
      <c r="BN64" t="s">
        <v>110</v>
      </c>
      <c r="BO64">
        <v>0</v>
      </c>
      <c r="BP64" t="s">
        <v>132</v>
      </c>
      <c r="BQ64" t="s">
        <v>371</v>
      </c>
      <c r="BR64">
        <v>5.6</v>
      </c>
      <c r="BS64" s="24">
        <v>0.25609999999999999</v>
      </c>
      <c r="BT64" s="26">
        <v>47.113188700000002</v>
      </c>
      <c r="BU64" s="26">
        <v>44.320916000000004</v>
      </c>
      <c r="BV64" s="26">
        <v>8.5659192100000006</v>
      </c>
      <c r="BW64" s="26" t="s">
        <v>418</v>
      </c>
      <c r="BX64" s="26">
        <v>63</v>
      </c>
      <c r="BY64" s="26">
        <v>74.62</v>
      </c>
      <c r="BZ64" s="26">
        <v>70.38</v>
      </c>
      <c r="CA64" s="26">
        <v>145</v>
      </c>
      <c r="CB64">
        <f>IF(AZ64&lt;&gt;"NA",(10000/AZ64)*(125/365),(10000/BA64)*(125/365))</f>
        <v>8.7811731647348079</v>
      </c>
      <c r="CC64">
        <f>IF(BA64&lt;&gt;"NA",(10000/BA64)*(125/365),(10000/AZ64)*(125/365))</f>
        <v>17.562346329469616</v>
      </c>
      <c r="CD64">
        <f>AE64/AVERAGE(AZ64,BA64)</f>
        <v>0.2197802197802198</v>
      </c>
      <c r="CE64">
        <f>1.911*IF(AX64&lt;&gt;"NA", AVERAGE(AX64,AY64), AVERAGE(AZ64,BA64))</f>
        <v>429.97500000000002</v>
      </c>
      <c r="CF64">
        <v>30</v>
      </c>
      <c r="CG64" s="27">
        <f>(CF64/N64)/IF(AX64&lt;&gt;"NA", AX64,AY64)</f>
        <v>0.33333333333333331</v>
      </c>
      <c r="CH64">
        <f>CF64/N64</f>
        <v>100</v>
      </c>
    </row>
    <row r="65" spans="1:86" ht="15.6" x14ac:dyDescent="0.3">
      <c r="A65">
        <v>64</v>
      </c>
      <c r="B65" s="35" t="s">
        <v>448</v>
      </c>
      <c r="C65" t="s">
        <v>87</v>
      </c>
      <c r="D65" s="22">
        <v>-2.305402</v>
      </c>
      <c r="E65" s="22">
        <v>28.940562</v>
      </c>
      <c r="F65">
        <v>1516</v>
      </c>
      <c r="G65" s="36" t="s">
        <v>319</v>
      </c>
      <c r="H65" s="38" t="s">
        <v>320</v>
      </c>
      <c r="I65">
        <v>65</v>
      </c>
      <c r="J65" t="s">
        <v>115</v>
      </c>
      <c r="K65" t="s">
        <v>449</v>
      </c>
      <c r="L65" t="s">
        <v>450</v>
      </c>
      <c r="M65">
        <f>60*60/10000</f>
        <v>0.36</v>
      </c>
      <c r="N65">
        <f t="shared" si="3"/>
        <v>0.36</v>
      </c>
      <c r="O65" t="s">
        <v>450</v>
      </c>
      <c r="P65" t="s">
        <v>93</v>
      </c>
      <c r="Q65">
        <v>100</v>
      </c>
      <c r="R65" s="19">
        <v>44819</v>
      </c>
      <c r="S65" s="19">
        <v>44961</v>
      </c>
      <c r="T65" t="s">
        <v>415</v>
      </c>
      <c r="U65" t="s">
        <v>363</v>
      </c>
      <c r="V65" t="s">
        <v>324</v>
      </c>
      <c r="W65">
        <v>20</v>
      </c>
      <c r="X65" t="s">
        <v>100</v>
      </c>
      <c r="Y65" t="s">
        <v>101</v>
      </c>
      <c r="Z65">
        <v>1</v>
      </c>
      <c r="AA65" t="s">
        <v>329</v>
      </c>
      <c r="AB65" t="s">
        <v>409</v>
      </c>
      <c r="AC65" s="25" t="s">
        <v>90</v>
      </c>
      <c r="AD65">
        <v>20</v>
      </c>
      <c r="AE65" s="24">
        <f t="shared" si="0"/>
        <v>55.555555555555557</v>
      </c>
      <c r="AF65" t="s">
        <v>96</v>
      </c>
      <c r="AG65" t="s">
        <v>101</v>
      </c>
      <c r="AH65" s="25" t="s">
        <v>90</v>
      </c>
      <c r="AI65" s="25" t="s">
        <v>90</v>
      </c>
      <c r="AJ65" t="s">
        <v>390</v>
      </c>
      <c r="AK65" t="s">
        <v>451</v>
      </c>
      <c r="AL65" t="s">
        <v>423</v>
      </c>
      <c r="AM65" t="s">
        <v>329</v>
      </c>
      <c r="AN65" t="s">
        <v>331</v>
      </c>
      <c r="AO65" s="25" t="s">
        <v>90</v>
      </c>
      <c r="AP65" t="s">
        <v>446</v>
      </c>
      <c r="AQ65" t="s">
        <v>446</v>
      </c>
      <c r="AR65" t="s">
        <v>346</v>
      </c>
      <c r="AS65" t="s">
        <v>96</v>
      </c>
      <c r="AT65" t="s">
        <v>355</v>
      </c>
      <c r="AU65" t="s">
        <v>96</v>
      </c>
      <c r="AV65" t="s">
        <v>357</v>
      </c>
      <c r="AW65" t="s">
        <v>336</v>
      </c>
      <c r="AX65">
        <f>(200/$M65)</f>
        <v>555.55555555555554</v>
      </c>
      <c r="AY65" s="51">
        <f>(150/$M65)</f>
        <v>416.66666666666669</v>
      </c>
      <c r="AZ65" s="51">
        <f>AX65+AX65*((100-Q65)/100)</f>
        <v>555.55555555555554</v>
      </c>
      <c r="BA65">
        <f>AY65+AY65*((100-Q65)/100)</f>
        <v>416.66666666666669</v>
      </c>
      <c r="BB65" t="s">
        <v>90</v>
      </c>
      <c r="BC65" t="s">
        <v>90</v>
      </c>
      <c r="BD65" t="s">
        <v>90</v>
      </c>
      <c r="BE65" t="s">
        <v>90</v>
      </c>
      <c r="BF65">
        <v>1</v>
      </c>
      <c r="BG65">
        <v>1800</v>
      </c>
      <c r="BH65" t="s">
        <v>90</v>
      </c>
      <c r="BI65" t="s">
        <v>452</v>
      </c>
      <c r="BJ65" t="s">
        <v>434</v>
      </c>
      <c r="BK65" t="s">
        <v>383</v>
      </c>
      <c r="BL65" s="24">
        <v>13</v>
      </c>
      <c r="BM65" t="s">
        <v>397</v>
      </c>
      <c r="BN65" t="s">
        <v>110</v>
      </c>
      <c r="BO65">
        <v>1</v>
      </c>
      <c r="BP65" s="24" t="s">
        <v>339</v>
      </c>
      <c r="BQ65" t="s">
        <v>340</v>
      </c>
      <c r="BR65">
        <v>5.76</v>
      </c>
      <c r="BS65" s="24">
        <v>0.22559999999999999</v>
      </c>
      <c r="BT65" s="26">
        <v>34.09131696</v>
      </c>
      <c r="BU65" s="26">
        <v>55.739829999999998</v>
      </c>
      <c r="BV65" s="26">
        <v>10.168862989999999</v>
      </c>
      <c r="BW65" s="26" t="s">
        <v>453</v>
      </c>
      <c r="BX65" s="26">
        <v>63</v>
      </c>
      <c r="BY65" s="26">
        <v>63.311999999999998</v>
      </c>
      <c r="BZ65" s="26">
        <v>81.688000000000002</v>
      </c>
      <c r="CA65" s="26">
        <v>145</v>
      </c>
      <c r="CB65">
        <f>IF(AZ65&lt;&gt;"NA",(10000/AZ65)*(125/365),(10000/BA65)*(125/365))</f>
        <v>6.1643835616438354</v>
      </c>
      <c r="CC65">
        <f>IF(BA65&lt;&gt;"NA",(10000/BA65)*(125/365),(10000/AZ65)*(125/365))</f>
        <v>8.2191780821917799</v>
      </c>
      <c r="CD65">
        <f>AE65/AVERAGE(AZ65,BA65)</f>
        <v>0.1142857142857143</v>
      </c>
      <c r="CE65">
        <f>1.911*IF(AX65&lt;&gt;"NA", AVERAGE(AX65,AY65), AVERAGE(AZ65,BA65))</f>
        <v>928.95833333333326</v>
      </c>
      <c r="CF65">
        <v>40</v>
      </c>
      <c r="CG65" s="27">
        <f>(CF65/N65)/IF(AX65&lt;&gt;"NA", AX65,AY65)</f>
        <v>0.2</v>
      </c>
      <c r="CH65">
        <f>CF65/N65</f>
        <v>111.11111111111111</v>
      </c>
    </row>
    <row r="66" spans="1:86" ht="15.6" x14ac:dyDescent="0.3">
      <c r="A66">
        <v>65</v>
      </c>
      <c r="B66" s="35" t="s">
        <v>454</v>
      </c>
      <c r="C66" t="s">
        <v>87</v>
      </c>
      <c r="D66" s="22">
        <v>-2.3092600000000001</v>
      </c>
      <c r="E66" s="22">
        <v>28.942</v>
      </c>
      <c r="F66">
        <v>1543</v>
      </c>
      <c r="G66" s="36" t="s">
        <v>319</v>
      </c>
      <c r="H66" s="38" t="s">
        <v>320</v>
      </c>
      <c r="I66">
        <v>62</v>
      </c>
      <c r="J66" t="s">
        <v>91</v>
      </c>
      <c r="K66" t="s">
        <v>455</v>
      </c>
      <c r="L66" t="s">
        <v>456</v>
      </c>
      <c r="M66">
        <f>43*35/10000</f>
        <v>0.15049999999999999</v>
      </c>
      <c r="N66">
        <f t="shared" si="3"/>
        <v>0.15049999999999999</v>
      </c>
      <c r="O66" t="s">
        <v>400</v>
      </c>
      <c r="P66" t="s">
        <v>344</v>
      </c>
      <c r="Q66">
        <v>50</v>
      </c>
      <c r="R66" s="19">
        <v>44819</v>
      </c>
      <c r="S66" s="19">
        <v>44969</v>
      </c>
      <c r="T66" t="s">
        <v>415</v>
      </c>
      <c r="U66" t="s">
        <v>457</v>
      </c>
      <c r="V66" t="s">
        <v>324</v>
      </c>
      <c r="W66">
        <v>20</v>
      </c>
      <c r="X66" t="s">
        <v>100</v>
      </c>
      <c r="Y66" t="s">
        <v>101</v>
      </c>
      <c r="Z66">
        <v>1</v>
      </c>
      <c r="AA66" t="s">
        <v>329</v>
      </c>
      <c r="AB66" t="s">
        <v>409</v>
      </c>
      <c r="AC66" s="25" t="s">
        <v>90</v>
      </c>
      <c r="AD66">
        <v>7.5</v>
      </c>
      <c r="AE66" s="24">
        <f t="shared" ref="AE66:AE129" si="4">AD66/(N66*Q66/100)</f>
        <v>99.667774086378742</v>
      </c>
      <c r="AF66" t="s">
        <v>96</v>
      </c>
      <c r="AG66" t="s">
        <v>101</v>
      </c>
      <c r="AH66" s="25" t="s">
        <v>90</v>
      </c>
      <c r="AI66" s="25" t="s">
        <v>90</v>
      </c>
      <c r="AJ66" t="s">
        <v>390</v>
      </c>
      <c r="AK66" t="s">
        <v>329</v>
      </c>
      <c r="AL66" t="s">
        <v>423</v>
      </c>
      <c r="AM66">
        <v>2</v>
      </c>
      <c r="AN66" t="s">
        <v>331</v>
      </c>
      <c r="AO66" s="25" t="s">
        <v>90</v>
      </c>
      <c r="AP66" t="s">
        <v>458</v>
      </c>
      <c r="AQ66" t="s">
        <v>446</v>
      </c>
      <c r="AR66" t="s">
        <v>346</v>
      </c>
      <c r="AS66" t="s">
        <v>96</v>
      </c>
      <c r="AT66" t="s">
        <v>355</v>
      </c>
      <c r="AU66" t="s">
        <v>416</v>
      </c>
      <c r="AV66" t="s">
        <v>357</v>
      </c>
      <c r="AW66" t="s">
        <v>336</v>
      </c>
      <c r="AX66">
        <f>(60/$M66)</f>
        <v>398.67109634551497</v>
      </c>
      <c r="AY66" s="51">
        <f>(70/$M66)</f>
        <v>465.11627906976747</v>
      </c>
      <c r="AZ66" s="51">
        <f>AX66+AX66*((100-Q66)/100)</f>
        <v>598.00664451827242</v>
      </c>
      <c r="BA66">
        <f>AY66+AY66*((100-Q66)/100)</f>
        <v>697.67441860465124</v>
      </c>
      <c r="BB66">
        <f>(125/$M66)</f>
        <v>830.56478405315613</v>
      </c>
      <c r="BC66">
        <f>BB66+(BB66*Q66)/(100-Q66)</f>
        <v>1661.1295681063123</v>
      </c>
      <c r="BD66">
        <f>(7.5/$M66)</f>
        <v>49.833887043189371</v>
      </c>
      <c r="BE66">
        <f>BD66+(BD66*Q66)/(100-Q66)</f>
        <v>99.667774086378742</v>
      </c>
      <c r="BF66">
        <f>AX66/AZ66+BD66/BE66+AY66/BA66+BB66/BC66</f>
        <v>2.3333333333333335</v>
      </c>
      <c r="BG66">
        <v>1800</v>
      </c>
      <c r="BH66" s="25" t="s">
        <v>90</v>
      </c>
      <c r="BI66" t="s">
        <v>426</v>
      </c>
      <c r="BJ66" t="s">
        <v>434</v>
      </c>
      <c r="BK66" t="s">
        <v>383</v>
      </c>
      <c r="BL66" s="24">
        <v>13</v>
      </c>
      <c r="BM66" t="s">
        <v>397</v>
      </c>
      <c r="BN66" t="s">
        <v>110</v>
      </c>
      <c r="BO66">
        <v>0</v>
      </c>
      <c r="BP66" t="s">
        <v>132</v>
      </c>
      <c r="BQ66" t="s">
        <v>371</v>
      </c>
      <c r="BR66">
        <v>5.7</v>
      </c>
      <c r="BS66" s="24">
        <v>0.2717</v>
      </c>
      <c r="BT66" s="26">
        <v>48.996690000000001</v>
      </c>
      <c r="BU66" s="26">
        <v>37.898879999999998</v>
      </c>
      <c r="BV66" s="26">
        <v>13.101443</v>
      </c>
      <c r="BW66" s="26" t="s">
        <v>71</v>
      </c>
      <c r="BX66" s="26">
        <v>63</v>
      </c>
      <c r="BY66" s="26">
        <v>60.911999999999999</v>
      </c>
      <c r="BZ66" s="26">
        <v>84.087999999999994</v>
      </c>
      <c r="CA66" s="26">
        <v>145</v>
      </c>
      <c r="CB66">
        <f>IF(AZ66&lt;&gt;"NA",(10000/AZ66)*(125/365),(10000/BA66)*(125/365))</f>
        <v>5.7267884322678837</v>
      </c>
      <c r="CC66">
        <f>IF(BA66&lt;&gt;"NA",(10000/BA66)*(125/365),(10000/AZ66)*(125/365))</f>
        <v>4.9086757990867573</v>
      </c>
      <c r="CD66">
        <f>AE66/AVERAGE(AZ66,BA66)</f>
        <v>0.15384615384615385</v>
      </c>
      <c r="CE66">
        <f>1.911*IF(AX66&lt;&gt;"NA", AVERAGE(AX66,AY66), AVERAGE(AZ66,BA66))</f>
        <v>825.34883720930236</v>
      </c>
      <c r="CF66">
        <v>0</v>
      </c>
      <c r="CG66" s="27">
        <f>(CF66/N66)/IF(AX66&lt;&gt;"NA", AX66,AY66)</f>
        <v>0</v>
      </c>
      <c r="CH66">
        <f>CF66/N66</f>
        <v>0</v>
      </c>
    </row>
    <row r="67" spans="1:86" ht="15.6" x14ac:dyDescent="0.3">
      <c r="A67">
        <v>66</v>
      </c>
      <c r="B67" s="35" t="s">
        <v>459</v>
      </c>
      <c r="C67" t="s">
        <v>134</v>
      </c>
      <c r="D67" s="22">
        <v>-2.3102</v>
      </c>
      <c r="E67" s="22">
        <v>28.941914000000001</v>
      </c>
      <c r="F67">
        <v>1549</v>
      </c>
      <c r="G67" s="36" t="s">
        <v>319</v>
      </c>
      <c r="H67" s="38" t="s">
        <v>320</v>
      </c>
      <c r="I67">
        <v>26</v>
      </c>
      <c r="J67" t="s">
        <v>91</v>
      </c>
      <c r="K67" t="s">
        <v>363</v>
      </c>
      <c r="L67" t="s">
        <v>460</v>
      </c>
      <c r="M67">
        <f>22*15/10000</f>
        <v>3.3000000000000002E-2</v>
      </c>
      <c r="N67">
        <f t="shared" si="3"/>
        <v>3.3000000000000002E-2</v>
      </c>
      <c r="O67" t="s">
        <v>461</v>
      </c>
      <c r="P67" t="s">
        <v>93</v>
      </c>
      <c r="Q67">
        <v>70</v>
      </c>
      <c r="R67" s="39">
        <v>44856</v>
      </c>
      <c r="S67" s="19">
        <v>44982</v>
      </c>
      <c r="T67" t="s">
        <v>462</v>
      </c>
      <c r="U67" t="s">
        <v>463</v>
      </c>
      <c r="V67" t="s">
        <v>324</v>
      </c>
      <c r="W67">
        <v>20</v>
      </c>
      <c r="X67" t="s">
        <v>100</v>
      </c>
      <c r="Y67" t="s">
        <v>101</v>
      </c>
      <c r="Z67">
        <v>1</v>
      </c>
      <c r="AA67" t="s">
        <v>329</v>
      </c>
      <c r="AB67" t="s">
        <v>409</v>
      </c>
      <c r="AC67" s="25" t="s">
        <v>90</v>
      </c>
      <c r="AD67">
        <v>3</v>
      </c>
      <c r="AE67" s="24">
        <f t="shared" si="4"/>
        <v>129.87012987012989</v>
      </c>
      <c r="AF67" t="s">
        <v>96</v>
      </c>
      <c r="AG67" t="s">
        <v>101</v>
      </c>
      <c r="AH67" s="25" t="s">
        <v>90</v>
      </c>
      <c r="AI67" s="25" t="s">
        <v>90</v>
      </c>
      <c r="AJ67" t="s">
        <v>390</v>
      </c>
      <c r="AK67" t="s">
        <v>329</v>
      </c>
      <c r="AL67" t="s">
        <v>423</v>
      </c>
      <c r="AM67">
        <v>2</v>
      </c>
      <c r="AN67" t="s">
        <v>331</v>
      </c>
      <c r="AO67" s="25" t="s">
        <v>90</v>
      </c>
      <c r="AP67" t="s">
        <v>332</v>
      </c>
      <c r="AQ67" t="s">
        <v>332</v>
      </c>
      <c r="AR67" t="s">
        <v>346</v>
      </c>
      <c r="AS67" t="s">
        <v>96</v>
      </c>
      <c r="AT67" t="s">
        <v>355</v>
      </c>
      <c r="AU67" t="s">
        <v>464</v>
      </c>
      <c r="AV67" t="s">
        <v>357</v>
      </c>
      <c r="AW67" t="s">
        <v>336</v>
      </c>
      <c r="AX67">
        <f>(30/$M67)</f>
        <v>909.09090909090901</v>
      </c>
      <c r="AY67" s="51">
        <f>(25/$M67)</f>
        <v>757.57575757575751</v>
      </c>
      <c r="AZ67" s="51">
        <f>AX67+AX67*((100-Q67)/100)</f>
        <v>1181.8181818181818</v>
      </c>
      <c r="BA67">
        <f>AY67+AY67*((100-Q67)/100)</f>
        <v>984.84848484848476</v>
      </c>
      <c r="BB67">
        <f>(19.5/$M67)</f>
        <v>590.90909090909088</v>
      </c>
      <c r="BC67">
        <f>BB67+(BB67*Q67)/(100-Q67)</f>
        <v>1969.6969696969695</v>
      </c>
      <c r="BD67" t="s">
        <v>90</v>
      </c>
      <c r="BE67" t="s">
        <v>90</v>
      </c>
      <c r="BF67">
        <f>AY67/BA67+BB67/BC67</f>
        <v>1.0692307692307692</v>
      </c>
      <c r="BG67">
        <v>1800</v>
      </c>
      <c r="BH67" t="s">
        <v>90</v>
      </c>
      <c r="BI67" t="s">
        <v>465</v>
      </c>
      <c r="BJ67" t="s">
        <v>434</v>
      </c>
      <c r="BK67" t="s">
        <v>383</v>
      </c>
      <c r="BL67" s="24">
        <v>13</v>
      </c>
      <c r="BM67" t="s">
        <v>397</v>
      </c>
      <c r="BN67" t="s">
        <v>110</v>
      </c>
      <c r="BO67">
        <v>0</v>
      </c>
      <c r="BP67" t="s">
        <v>132</v>
      </c>
      <c r="BQ67" t="s">
        <v>371</v>
      </c>
      <c r="BR67">
        <v>5.37</v>
      </c>
      <c r="BS67" s="24">
        <v>0.21820000000000001</v>
      </c>
      <c r="BT67" s="26">
        <v>87.508639900000006</v>
      </c>
      <c r="BU67" s="26">
        <v>12.4913797</v>
      </c>
      <c r="BV67" s="26">
        <v>0</v>
      </c>
      <c r="BW67" s="26" t="s">
        <v>71</v>
      </c>
      <c r="BX67" s="26">
        <v>63</v>
      </c>
      <c r="BY67" s="26">
        <v>66.072000000000003</v>
      </c>
      <c r="BZ67" s="26">
        <v>78.927999999999997</v>
      </c>
      <c r="CA67" s="26">
        <v>145</v>
      </c>
      <c r="CB67">
        <f>IF(AZ67&lt;&gt;"NA",(10000/AZ67)*(125/365),(10000/BA67)*(125/365))</f>
        <v>2.8977871443624865</v>
      </c>
      <c r="CC67">
        <f>IF(BA67&lt;&gt;"NA",(10000/BA67)*(125/365),(10000/AZ67)*(125/365))</f>
        <v>3.4773445732349844</v>
      </c>
      <c r="CD67">
        <f>AE67/AVERAGE(AZ67,BA67)</f>
        <v>0.1198801198801199</v>
      </c>
      <c r="CE67">
        <f>1.911*IF(AX67&lt;&gt;"NA", AVERAGE(AX67,AY67), AVERAGE(AZ67,BA67))</f>
        <v>1592.4999999999998</v>
      </c>
      <c r="CF67">
        <v>10</v>
      </c>
      <c r="CG67" s="27">
        <f>(CF67/N67)/IF(AX67&lt;&gt;"NA", AX67,AY67)</f>
        <v>0.33333333333333331</v>
      </c>
      <c r="CH67">
        <f>CF67/N67</f>
        <v>303.030303030303</v>
      </c>
    </row>
    <row r="68" spans="1:86" s="51" customFormat="1" ht="15.6" x14ac:dyDescent="0.3">
      <c r="A68" s="51">
        <v>67</v>
      </c>
      <c r="B68" s="53" t="s">
        <v>466</v>
      </c>
      <c r="C68" s="51" t="s">
        <v>134</v>
      </c>
      <c r="D68" s="54">
        <v>-2.310511</v>
      </c>
      <c r="E68" s="54">
        <v>28.941085999999999</v>
      </c>
      <c r="F68" s="51">
        <v>1549</v>
      </c>
      <c r="G68" s="55" t="s">
        <v>319</v>
      </c>
      <c r="H68" s="56" t="s">
        <v>320</v>
      </c>
      <c r="I68" s="51">
        <v>53</v>
      </c>
      <c r="J68" s="51" t="s">
        <v>115</v>
      </c>
      <c r="K68" s="51" t="s">
        <v>460</v>
      </c>
      <c r="L68" s="51" t="s">
        <v>450</v>
      </c>
      <c r="M68" s="51">
        <f>30*10/10000</f>
        <v>0.03</v>
      </c>
      <c r="N68" s="51">
        <f t="shared" si="3"/>
        <v>0.03</v>
      </c>
      <c r="O68" s="51" t="s">
        <v>363</v>
      </c>
      <c r="P68" s="51" t="s">
        <v>93</v>
      </c>
      <c r="Q68" s="51">
        <v>60</v>
      </c>
      <c r="R68" s="57">
        <v>44835</v>
      </c>
      <c r="S68" s="57">
        <v>44941</v>
      </c>
      <c r="T68" s="51" t="s">
        <v>92</v>
      </c>
      <c r="U68" s="51" t="s">
        <v>467</v>
      </c>
      <c r="V68" s="51" t="s">
        <v>324</v>
      </c>
      <c r="W68" s="51">
        <v>20</v>
      </c>
      <c r="X68" s="51" t="s">
        <v>100</v>
      </c>
      <c r="Y68" s="51" t="s">
        <v>101</v>
      </c>
      <c r="Z68" s="51">
        <v>1</v>
      </c>
      <c r="AA68" s="51" t="s">
        <v>329</v>
      </c>
      <c r="AB68" s="51" t="s">
        <v>409</v>
      </c>
      <c r="AC68" s="58" t="s">
        <v>90</v>
      </c>
      <c r="AD68" s="51">
        <v>6</v>
      </c>
      <c r="AE68" s="50">
        <f t="shared" si="4"/>
        <v>333.33333333333337</v>
      </c>
      <c r="AF68" s="51" t="s">
        <v>96</v>
      </c>
      <c r="AG68" s="51" t="s">
        <v>101</v>
      </c>
      <c r="AH68" s="58" t="s">
        <v>90</v>
      </c>
      <c r="AI68" s="58" t="s">
        <v>90</v>
      </c>
      <c r="AJ68" s="51" t="s">
        <v>390</v>
      </c>
      <c r="AK68" s="51" t="s">
        <v>329</v>
      </c>
      <c r="AL68" s="51" t="s">
        <v>423</v>
      </c>
      <c r="AM68" s="51">
        <v>2</v>
      </c>
      <c r="AN68" s="51" t="s">
        <v>331</v>
      </c>
      <c r="AO68" s="58" t="s">
        <v>90</v>
      </c>
      <c r="AP68" s="51" t="s">
        <v>332</v>
      </c>
      <c r="AQ68" s="51" t="s">
        <v>332</v>
      </c>
      <c r="AR68" s="51" t="s">
        <v>346</v>
      </c>
      <c r="AS68" s="51" t="s">
        <v>96</v>
      </c>
      <c r="AT68" s="51" t="s">
        <v>355</v>
      </c>
      <c r="AU68" s="51" t="s">
        <v>416</v>
      </c>
      <c r="AV68" s="51" t="s">
        <v>357</v>
      </c>
      <c r="AW68" s="51" t="s">
        <v>336</v>
      </c>
      <c r="AX68" s="51">
        <f>(50/$M68)</f>
        <v>1666.6666666666667</v>
      </c>
      <c r="AY68" s="51">
        <f>(27/$M68)</f>
        <v>900</v>
      </c>
      <c r="AZ68" s="51">
        <f>AX68+AX68*((100-Q68)/100)</f>
        <v>2333.3333333333335</v>
      </c>
      <c r="BA68" s="51">
        <f>AY68+AY68*((100-Q68)/100)</f>
        <v>1260</v>
      </c>
      <c r="BB68" s="51">
        <f>(30/$M68)</f>
        <v>1000</v>
      </c>
      <c r="BC68" s="51">
        <f>BB68+(BB68*Q68)/(100-Q68)</f>
        <v>2500</v>
      </c>
      <c r="BD68" s="51" t="s">
        <v>90</v>
      </c>
      <c r="BE68" s="51" t="s">
        <v>90</v>
      </c>
      <c r="BF68" s="51">
        <f>AY68/BA68+BB68/BC68</f>
        <v>1.1142857142857143</v>
      </c>
      <c r="BG68" s="51">
        <v>1800</v>
      </c>
      <c r="BH68" s="51" t="s">
        <v>90</v>
      </c>
      <c r="BI68" s="51" t="s">
        <v>426</v>
      </c>
      <c r="BJ68" s="51" t="s">
        <v>438</v>
      </c>
      <c r="BK68" s="51" t="s">
        <v>383</v>
      </c>
      <c r="BL68" s="50">
        <v>13</v>
      </c>
      <c r="BM68" s="51" t="s">
        <v>397</v>
      </c>
      <c r="BN68" s="51" t="s">
        <v>110</v>
      </c>
      <c r="BO68" s="51">
        <v>0</v>
      </c>
      <c r="BP68" s="51" t="s">
        <v>132</v>
      </c>
      <c r="BQ68" s="51" t="s">
        <v>371</v>
      </c>
      <c r="BR68" s="51">
        <v>5.5</v>
      </c>
      <c r="BS68" s="50">
        <v>0.31480000000000002</v>
      </c>
      <c r="BT68" s="59">
        <v>75.004288399999993</v>
      </c>
      <c r="BU68" s="59">
        <v>22.988947</v>
      </c>
      <c r="BV68" s="59">
        <v>2.0100099999999999</v>
      </c>
      <c r="BW68" s="59" t="s">
        <v>71</v>
      </c>
      <c r="BX68" s="59">
        <v>63</v>
      </c>
      <c r="BY68" s="59">
        <v>61.967999999999996</v>
      </c>
      <c r="BZ68" s="59">
        <v>83.032000000000011</v>
      </c>
      <c r="CA68" s="59">
        <v>145</v>
      </c>
      <c r="CB68" s="51">
        <f>IF(AZ68&lt;&gt;"NA",(10000/AZ68)*(125/365),(10000/BA68)*(125/365))</f>
        <v>1.4677103718199607</v>
      </c>
      <c r="CC68" s="51">
        <f>IF(BA68&lt;&gt;"NA",(10000/BA68)*(125/365),(10000/AZ68)*(125/365))</f>
        <v>2.7179821700369646</v>
      </c>
      <c r="CD68" s="51">
        <f>AE68/AVERAGE(AZ68,BA68)</f>
        <v>0.1855287569573284</v>
      </c>
      <c r="CE68" s="51">
        <f>1.911*IF(AX68&lt;&gt;"NA", AVERAGE(AX68,AY68), AVERAGE(AZ68,BA68))</f>
        <v>2452.4500000000003</v>
      </c>
      <c r="CF68" s="51">
        <v>10</v>
      </c>
      <c r="CG68" s="60">
        <f>(CF68/N68)/IF(AX68&lt;&gt;"NA", AX68,AY68)</f>
        <v>0.2</v>
      </c>
      <c r="CH68" s="51">
        <f>CF68/N68</f>
        <v>333.33333333333337</v>
      </c>
    </row>
    <row r="69" spans="1:86" ht="15.6" x14ac:dyDescent="0.3">
      <c r="A69">
        <v>68</v>
      </c>
      <c r="B69" s="35" t="s">
        <v>468</v>
      </c>
      <c r="C69" t="s">
        <v>134</v>
      </c>
      <c r="D69" s="22">
        <v>-2.3094375999999999</v>
      </c>
      <c r="E69" s="22">
        <v>28.940883400000001</v>
      </c>
      <c r="F69">
        <v>1539</v>
      </c>
      <c r="G69" s="36" t="s">
        <v>319</v>
      </c>
      <c r="H69" s="38" t="s">
        <v>320</v>
      </c>
      <c r="I69">
        <v>67</v>
      </c>
      <c r="J69" t="s">
        <v>91</v>
      </c>
      <c r="K69" t="s">
        <v>363</v>
      </c>
      <c r="L69" t="s">
        <v>461</v>
      </c>
      <c r="M69">
        <f>14*12/10000</f>
        <v>1.6799999999999999E-2</v>
      </c>
      <c r="N69">
        <f t="shared" si="3"/>
        <v>1.6799999999999999E-2</v>
      </c>
      <c r="O69" t="s">
        <v>461</v>
      </c>
      <c r="P69" t="s">
        <v>93</v>
      </c>
      <c r="Q69">
        <v>70</v>
      </c>
      <c r="R69" s="19">
        <v>44836</v>
      </c>
      <c r="S69" s="19">
        <v>44942</v>
      </c>
      <c r="T69" t="s">
        <v>415</v>
      </c>
      <c r="U69" t="s">
        <v>363</v>
      </c>
      <c r="V69" t="s">
        <v>324</v>
      </c>
      <c r="W69">
        <v>20</v>
      </c>
      <c r="X69" t="s">
        <v>100</v>
      </c>
      <c r="Y69" t="s">
        <v>101</v>
      </c>
      <c r="Z69">
        <v>1</v>
      </c>
      <c r="AA69" t="s">
        <v>329</v>
      </c>
      <c r="AB69" t="s">
        <v>409</v>
      </c>
      <c r="AC69" s="25" t="s">
        <v>90</v>
      </c>
      <c r="AD69">
        <v>1.5</v>
      </c>
      <c r="AE69" s="24">
        <f t="shared" si="4"/>
        <v>127.55102040816327</v>
      </c>
      <c r="AF69" t="s">
        <v>96</v>
      </c>
      <c r="AG69" t="s">
        <v>101</v>
      </c>
      <c r="AH69" s="25" t="s">
        <v>90</v>
      </c>
      <c r="AI69" s="25" t="s">
        <v>90</v>
      </c>
      <c r="AJ69" t="s">
        <v>390</v>
      </c>
      <c r="AK69" t="s">
        <v>329</v>
      </c>
      <c r="AL69" t="s">
        <v>423</v>
      </c>
      <c r="AM69" t="s">
        <v>329</v>
      </c>
      <c r="AN69" t="s">
        <v>331</v>
      </c>
      <c r="AO69" s="25" t="s">
        <v>90</v>
      </c>
      <c r="AP69" t="s">
        <v>469</v>
      </c>
      <c r="AQ69" t="s">
        <v>469</v>
      </c>
      <c r="AR69" t="s">
        <v>346</v>
      </c>
      <c r="AS69" t="s">
        <v>96</v>
      </c>
      <c r="AT69" t="s">
        <v>355</v>
      </c>
      <c r="AU69" t="s">
        <v>96</v>
      </c>
      <c r="AV69" t="s">
        <v>357</v>
      </c>
      <c r="AW69" t="s">
        <v>336</v>
      </c>
      <c r="AX69">
        <f>(30/$M69)</f>
        <v>1785.7142857142858</v>
      </c>
      <c r="AY69" s="51">
        <f>(15/$M69)</f>
        <v>892.85714285714289</v>
      </c>
      <c r="AZ69" s="51">
        <f>AX69+AX69*((100-Q69)/100)</f>
        <v>2321.4285714285716</v>
      </c>
      <c r="BA69">
        <f>AY69+AY69*((100-Q69)/100)</f>
        <v>1160.7142857142858</v>
      </c>
      <c r="BB69">
        <f>(25/$M69)</f>
        <v>1488.0952380952381</v>
      </c>
      <c r="BC69">
        <f>BB69+(BB69*Q69)/(100-Q69)</f>
        <v>4960.3174603174602</v>
      </c>
      <c r="BD69" t="s">
        <v>90</v>
      </c>
      <c r="BE69" t="s">
        <v>90</v>
      </c>
      <c r="BF69">
        <f>AY69/BA69+BB69/BC69</f>
        <v>1.0692307692307692</v>
      </c>
      <c r="BG69">
        <v>1800</v>
      </c>
      <c r="BH69" t="s">
        <v>90</v>
      </c>
      <c r="BI69" t="s">
        <v>426</v>
      </c>
      <c r="BJ69" t="s">
        <v>438</v>
      </c>
      <c r="BK69" t="s">
        <v>383</v>
      </c>
      <c r="BL69" s="24">
        <v>13</v>
      </c>
      <c r="BM69" t="s">
        <v>397</v>
      </c>
      <c r="BN69" t="s">
        <v>110</v>
      </c>
      <c r="BO69">
        <v>0</v>
      </c>
      <c r="BP69" t="s">
        <v>132</v>
      </c>
      <c r="BQ69" t="s">
        <v>371</v>
      </c>
      <c r="BR69">
        <v>6.37</v>
      </c>
      <c r="BS69" s="24">
        <v>0.25219999999999998</v>
      </c>
      <c r="BT69" s="26">
        <v>60.792023759999999</v>
      </c>
      <c r="BU69" s="26">
        <v>39.207974899999996</v>
      </c>
      <c r="BV69" s="26">
        <v>0</v>
      </c>
      <c r="BW69" s="26" t="s">
        <v>341</v>
      </c>
      <c r="BX69" s="26">
        <v>63</v>
      </c>
      <c r="BY69" s="26">
        <v>78.48</v>
      </c>
      <c r="BZ69" s="26">
        <v>66.52</v>
      </c>
      <c r="CA69" s="26">
        <v>145</v>
      </c>
      <c r="CB69">
        <f>IF(AZ69&lt;&gt;"NA",(10000/AZ69)*(125/365),(10000/BA69)*(125/365))</f>
        <v>1.4752370916754476</v>
      </c>
      <c r="CC69">
        <f>IF(BA69&lt;&gt;"NA",(10000/BA69)*(125/365),(10000/AZ69)*(125/365))</f>
        <v>2.9504741833508952</v>
      </c>
      <c r="CD69">
        <f>AE69/AVERAGE(AZ69,BA69)</f>
        <v>7.3260073260073263E-2</v>
      </c>
      <c r="CE69">
        <f>1.911*IF(AX69&lt;&gt;"NA", AVERAGE(AX69,AY69), AVERAGE(AZ69,BA69))</f>
        <v>2559.375</v>
      </c>
      <c r="CF69">
        <v>15</v>
      </c>
      <c r="CG69" s="27">
        <f>(CF69/N69)/IF(AX69&lt;&gt;"NA", AX69,AY69)</f>
        <v>0.5</v>
      </c>
      <c r="CH69">
        <f>CF69/N69</f>
        <v>892.85714285714289</v>
      </c>
    </row>
    <row r="70" spans="1:86" ht="15.6" x14ac:dyDescent="0.3">
      <c r="A70">
        <v>69</v>
      </c>
      <c r="B70" s="35" t="s">
        <v>470</v>
      </c>
      <c r="C70" t="s">
        <v>134</v>
      </c>
      <c r="D70" s="22">
        <v>-2.3093257</v>
      </c>
      <c r="E70" s="22">
        <v>28.938452999999999</v>
      </c>
      <c r="F70">
        <v>1532</v>
      </c>
      <c r="G70" s="36" t="s">
        <v>319</v>
      </c>
      <c r="H70" s="38" t="s">
        <v>320</v>
      </c>
      <c r="I70">
        <v>52</v>
      </c>
      <c r="J70" t="s">
        <v>91</v>
      </c>
      <c r="K70" t="s">
        <v>414</v>
      </c>
      <c r="L70" t="s">
        <v>471</v>
      </c>
      <c r="M70">
        <f>56*47/10000</f>
        <v>0.26319999999999999</v>
      </c>
      <c r="N70">
        <f t="shared" si="3"/>
        <v>0.26319999999999999</v>
      </c>
      <c r="O70" t="s">
        <v>363</v>
      </c>
      <c r="P70" t="s">
        <v>344</v>
      </c>
      <c r="Q70">
        <v>50</v>
      </c>
      <c r="R70" s="19">
        <v>44839</v>
      </c>
      <c r="S70" s="19">
        <v>44962</v>
      </c>
      <c r="T70" t="s">
        <v>415</v>
      </c>
      <c r="U70" t="s">
        <v>472</v>
      </c>
      <c r="V70" t="s">
        <v>324</v>
      </c>
      <c r="W70">
        <v>20</v>
      </c>
      <c r="X70" t="s">
        <v>100</v>
      </c>
      <c r="Y70" t="s">
        <v>101</v>
      </c>
      <c r="Z70">
        <v>2</v>
      </c>
      <c r="AA70" t="s">
        <v>329</v>
      </c>
      <c r="AB70" t="s">
        <v>409</v>
      </c>
      <c r="AC70" s="25" t="s">
        <v>90</v>
      </c>
      <c r="AD70">
        <v>30</v>
      </c>
      <c r="AE70" s="24">
        <f t="shared" si="4"/>
        <v>227.96352583586628</v>
      </c>
      <c r="AF70" t="s">
        <v>96</v>
      </c>
      <c r="AG70" t="s">
        <v>101</v>
      </c>
      <c r="AH70" s="25" t="s">
        <v>90</v>
      </c>
      <c r="AI70" s="25" t="s">
        <v>90</v>
      </c>
      <c r="AJ70" s="25" t="s">
        <v>90</v>
      </c>
      <c r="AK70" s="25" t="s">
        <v>90</v>
      </c>
      <c r="AL70" s="25" t="s">
        <v>90</v>
      </c>
      <c r="AM70" t="s">
        <v>329</v>
      </c>
      <c r="AN70" s="25" t="s">
        <v>90</v>
      </c>
      <c r="AO70" s="25" t="s">
        <v>90</v>
      </c>
      <c r="AP70" t="s">
        <v>332</v>
      </c>
      <c r="AQ70" t="s">
        <v>332</v>
      </c>
      <c r="AR70" t="s">
        <v>346</v>
      </c>
      <c r="AS70" t="s">
        <v>96</v>
      </c>
      <c r="AT70" t="s">
        <v>355</v>
      </c>
      <c r="AU70" s="25" t="s">
        <v>90</v>
      </c>
      <c r="AV70" t="s">
        <v>357</v>
      </c>
      <c r="AW70" t="s">
        <v>336</v>
      </c>
      <c r="AX70">
        <f>(400/$M70)</f>
        <v>1519.7568389057751</v>
      </c>
      <c r="AY70" s="51">
        <f>(150/$M70)</f>
        <v>569.90881458966567</v>
      </c>
      <c r="AZ70" s="51">
        <f>AX70+AX70*((100-Q70)/100)</f>
        <v>2279.6352583586627</v>
      </c>
      <c r="BA70">
        <f>AY70+AY70*((100-Q70)/100)</f>
        <v>854.86322188449844</v>
      </c>
      <c r="BB70">
        <f>(320/$M70)</f>
        <v>1215.80547112462</v>
      </c>
      <c r="BC70">
        <f>BB70+(BB70*Q70)/(100-Q70)</f>
        <v>2431.61094224924</v>
      </c>
      <c r="BD70" t="s">
        <v>90</v>
      </c>
      <c r="BE70" t="s">
        <v>90</v>
      </c>
      <c r="BF70">
        <f>AY70/BA70+BB70/BC70</f>
        <v>1.1666666666666667</v>
      </c>
      <c r="BG70">
        <v>1800</v>
      </c>
      <c r="BH70" t="s">
        <v>90</v>
      </c>
      <c r="BI70" t="s">
        <v>426</v>
      </c>
      <c r="BJ70" t="s">
        <v>438</v>
      </c>
      <c r="BK70" t="s">
        <v>383</v>
      </c>
      <c r="BL70" s="24">
        <v>13</v>
      </c>
      <c r="BM70" t="s">
        <v>397</v>
      </c>
      <c r="BN70" t="s">
        <v>110</v>
      </c>
      <c r="BO70">
        <v>0</v>
      </c>
      <c r="BP70" t="s">
        <v>132</v>
      </c>
      <c r="BQ70" t="s">
        <v>371</v>
      </c>
      <c r="BR70">
        <v>5.6</v>
      </c>
      <c r="BS70" s="24">
        <v>0.2039</v>
      </c>
      <c r="BT70" s="26">
        <v>87.508639900000006</v>
      </c>
      <c r="BU70" s="26">
        <v>12.4913797</v>
      </c>
      <c r="BV70" s="26">
        <v>0</v>
      </c>
      <c r="BW70" s="26" t="s">
        <v>71</v>
      </c>
      <c r="BX70" s="26">
        <v>63</v>
      </c>
      <c r="BY70" s="26">
        <v>58.271999999999991</v>
      </c>
      <c r="BZ70" s="26">
        <v>86.728000000000009</v>
      </c>
      <c r="CA70" s="26">
        <v>145</v>
      </c>
      <c r="CB70">
        <f>IF(AZ70&lt;&gt;"NA",(10000/AZ70)*(125/365),(10000/BA70)*(125/365))</f>
        <v>1.5022831050228309</v>
      </c>
      <c r="CC70">
        <f>IF(BA70&lt;&gt;"NA",(10000/BA70)*(125/365),(10000/AZ70)*(125/365))</f>
        <v>4.006088280060883</v>
      </c>
      <c r="CD70">
        <f>AE70/AVERAGE(AZ70,BA70)</f>
        <v>0.14545454545454548</v>
      </c>
      <c r="CE70">
        <f>1.911*IF(AX70&lt;&gt;"NA", AVERAGE(AX70,AY70), AVERAGE(AZ70,BA70))</f>
        <v>1996.6755319148938</v>
      </c>
      <c r="CF70">
        <v>30</v>
      </c>
      <c r="CG70" s="27">
        <f>(CF70/N70)/IF(AX70&lt;&gt;"NA", AX70,AY70)</f>
        <v>7.4999999999999997E-2</v>
      </c>
      <c r="CH70">
        <f>CF70/N70</f>
        <v>113.98176291793314</v>
      </c>
    </row>
    <row r="71" spans="1:86" ht="15.6" x14ac:dyDescent="0.3">
      <c r="A71">
        <v>70</v>
      </c>
      <c r="B71" s="35" t="s">
        <v>473</v>
      </c>
      <c r="C71" t="s">
        <v>87</v>
      </c>
      <c r="D71" s="22">
        <v>-2.3318780000000001</v>
      </c>
      <c r="E71" s="22">
        <v>28.894390000000001</v>
      </c>
      <c r="F71">
        <v>1524</v>
      </c>
      <c r="G71" s="36" t="s">
        <v>319</v>
      </c>
      <c r="H71" s="38" t="s">
        <v>320</v>
      </c>
      <c r="I71">
        <v>38</v>
      </c>
      <c r="J71" t="s">
        <v>91</v>
      </c>
      <c r="K71" t="s">
        <v>474</v>
      </c>
      <c r="L71" t="s">
        <v>363</v>
      </c>
      <c r="M71">
        <f>50*25/10000</f>
        <v>0.125</v>
      </c>
      <c r="N71">
        <f t="shared" si="3"/>
        <v>0.125</v>
      </c>
      <c r="O71" t="s">
        <v>363</v>
      </c>
      <c r="P71" t="s">
        <v>344</v>
      </c>
      <c r="Q71">
        <v>70</v>
      </c>
      <c r="R71" s="25" t="s">
        <v>90</v>
      </c>
      <c r="S71" s="19">
        <v>44972</v>
      </c>
      <c r="T71" t="s">
        <v>420</v>
      </c>
      <c r="U71" t="s">
        <v>475</v>
      </c>
      <c r="V71" t="s">
        <v>324</v>
      </c>
      <c r="W71">
        <v>20</v>
      </c>
      <c r="X71" t="s">
        <v>100</v>
      </c>
      <c r="Y71" t="s">
        <v>101</v>
      </c>
      <c r="Z71">
        <v>1</v>
      </c>
      <c r="AA71" t="s">
        <v>329</v>
      </c>
      <c r="AB71" t="s">
        <v>409</v>
      </c>
      <c r="AC71" s="25" t="s">
        <v>90</v>
      </c>
      <c r="AD71">
        <v>9</v>
      </c>
      <c r="AE71" s="24">
        <f t="shared" si="4"/>
        <v>102.85714285714286</v>
      </c>
      <c r="AF71" t="s">
        <v>96</v>
      </c>
      <c r="AG71" t="s">
        <v>101</v>
      </c>
      <c r="AH71" s="25" t="s">
        <v>90</v>
      </c>
      <c r="AI71" s="25" t="s">
        <v>90</v>
      </c>
      <c r="AJ71" t="s">
        <v>390</v>
      </c>
      <c r="AK71" t="s">
        <v>329</v>
      </c>
      <c r="AL71" t="s">
        <v>423</v>
      </c>
      <c r="AM71" t="s">
        <v>329</v>
      </c>
      <c r="AN71" t="s">
        <v>331</v>
      </c>
      <c r="AO71" s="25" t="s">
        <v>90</v>
      </c>
      <c r="AP71" t="s">
        <v>332</v>
      </c>
      <c r="AQ71" t="s">
        <v>332</v>
      </c>
      <c r="AR71">
        <v>10</v>
      </c>
      <c r="AS71" t="s">
        <v>324</v>
      </c>
      <c r="AT71" t="s">
        <v>476</v>
      </c>
      <c r="AU71" t="s">
        <v>477</v>
      </c>
      <c r="AV71" t="s">
        <v>357</v>
      </c>
      <c r="AW71" t="s">
        <v>336</v>
      </c>
      <c r="AX71" t="s">
        <v>90</v>
      </c>
      <c r="AY71" s="51">
        <f>(18/$M71)</f>
        <v>144</v>
      </c>
      <c r="AZ71" s="51" t="s">
        <v>90</v>
      </c>
      <c r="BA71">
        <f>AY71+AY71*((100-Q71)/100)</f>
        <v>187.2</v>
      </c>
      <c r="BB71">
        <f>(70/$M71)</f>
        <v>560</v>
      </c>
      <c r="BC71">
        <f>BB71+(BB71*Q71)/(100-Q71)</f>
        <v>1866.6666666666667</v>
      </c>
      <c r="BD71" t="s">
        <v>90</v>
      </c>
      <c r="BE71" t="s">
        <v>90</v>
      </c>
      <c r="BF71">
        <f>AY71/BA71+BB71/BC71</f>
        <v>1.0692307692307692</v>
      </c>
      <c r="BG71">
        <v>1800</v>
      </c>
      <c r="BH71" t="s">
        <v>90</v>
      </c>
      <c r="BI71" t="s">
        <v>426</v>
      </c>
      <c r="BJ71" s="25" t="s">
        <v>90</v>
      </c>
      <c r="BK71" t="s">
        <v>383</v>
      </c>
      <c r="BL71" s="24">
        <v>13</v>
      </c>
      <c r="BM71" t="s">
        <v>397</v>
      </c>
      <c r="BN71" t="s">
        <v>110</v>
      </c>
      <c r="BO71">
        <v>0</v>
      </c>
      <c r="BP71" t="s">
        <v>132</v>
      </c>
      <c r="BQ71" t="s">
        <v>371</v>
      </c>
      <c r="BR71">
        <v>5.7</v>
      </c>
      <c r="BS71" s="24">
        <v>0.2601</v>
      </c>
      <c r="BT71" s="26">
        <v>65.335334599999996</v>
      </c>
      <c r="BU71" s="26">
        <v>32.064525500000002</v>
      </c>
      <c r="BV71" s="26">
        <v>2.6008100000000001</v>
      </c>
      <c r="BW71" s="26" t="s">
        <v>71</v>
      </c>
      <c r="BX71" s="26">
        <v>63</v>
      </c>
      <c r="BY71" s="26">
        <v>59.856000000000009</v>
      </c>
      <c r="BZ71" s="26">
        <v>85.143999999999991</v>
      </c>
      <c r="CA71" s="26">
        <v>145</v>
      </c>
      <c r="CB71">
        <f>IF(AZ71&lt;&gt;"NA",(10000/AZ71)*(125/365),(10000/BA71)*(125/365))</f>
        <v>18.294110759864186</v>
      </c>
      <c r="CC71">
        <f>IF(BA71&lt;&gt;"NA",(10000/BA71)*(125/365),(10000/AZ71)*(125/365))</f>
        <v>18.294110759864186</v>
      </c>
      <c r="CD71">
        <f>AE71/AVERAGE(AZ71,BA71)</f>
        <v>0.5494505494505495</v>
      </c>
      <c r="CE71">
        <f>1.911*IF(AX71&lt;&gt;"NA", AVERAGE(AX71,AY71), AVERAGE(AZ71,BA71))</f>
        <v>357.73919999999998</v>
      </c>
      <c r="CF71">
        <v>20</v>
      </c>
      <c r="CG71" s="27">
        <f>(CF71/N71)/IF(AX71&lt;&gt;"NA", AX71,AY71)</f>
        <v>1.1111111111111112</v>
      </c>
      <c r="CH71">
        <f>CF71/N71</f>
        <v>160</v>
      </c>
    </row>
    <row r="72" spans="1:86" ht="15.6" x14ac:dyDescent="0.3">
      <c r="A72">
        <v>71</v>
      </c>
      <c r="B72" s="35" t="s">
        <v>478</v>
      </c>
      <c r="C72" t="s">
        <v>87</v>
      </c>
      <c r="D72" s="22">
        <v>-2.3456429999999999</v>
      </c>
      <c r="E72" s="22">
        <v>28.892707999999999</v>
      </c>
      <c r="F72">
        <v>1484</v>
      </c>
      <c r="G72" s="36" t="s">
        <v>319</v>
      </c>
      <c r="H72" s="38" t="s">
        <v>320</v>
      </c>
      <c r="I72">
        <v>73</v>
      </c>
      <c r="J72" t="s">
        <v>115</v>
      </c>
      <c r="K72" t="s">
        <v>363</v>
      </c>
      <c r="L72" t="s">
        <v>363</v>
      </c>
      <c r="M72">
        <f>20*30/10000</f>
        <v>0.06</v>
      </c>
      <c r="N72">
        <f t="shared" si="3"/>
        <v>0.06</v>
      </c>
      <c r="O72" t="s">
        <v>461</v>
      </c>
      <c r="P72" t="s">
        <v>93</v>
      </c>
      <c r="Q72">
        <v>75</v>
      </c>
      <c r="R72" s="19">
        <v>44839</v>
      </c>
      <c r="S72" s="19">
        <v>44972</v>
      </c>
      <c r="T72" t="s">
        <v>415</v>
      </c>
      <c r="U72" t="s">
        <v>479</v>
      </c>
      <c r="V72" t="s">
        <v>324</v>
      </c>
      <c r="W72">
        <v>20</v>
      </c>
      <c r="X72" t="s">
        <v>100</v>
      </c>
      <c r="Y72" t="s">
        <v>101</v>
      </c>
      <c r="Z72">
        <v>1</v>
      </c>
      <c r="AA72" t="s">
        <v>441</v>
      </c>
      <c r="AB72" t="s">
        <v>480</v>
      </c>
      <c r="AC72" s="25" t="s">
        <v>90</v>
      </c>
      <c r="AD72">
        <v>7.5</v>
      </c>
      <c r="AE72" s="24">
        <f t="shared" si="4"/>
        <v>166.66666666666669</v>
      </c>
      <c r="AF72" t="s">
        <v>96</v>
      </c>
      <c r="AG72" t="s">
        <v>101</v>
      </c>
      <c r="AH72" s="25" t="s">
        <v>90</v>
      </c>
      <c r="AI72" s="25" t="s">
        <v>90</v>
      </c>
      <c r="AJ72" t="s">
        <v>390</v>
      </c>
      <c r="AK72" t="s">
        <v>329</v>
      </c>
      <c r="AL72" t="s">
        <v>423</v>
      </c>
      <c r="AM72">
        <v>2</v>
      </c>
      <c r="AN72" t="s">
        <v>331</v>
      </c>
      <c r="AO72" s="25" t="s">
        <v>90</v>
      </c>
      <c r="AP72" t="s">
        <v>424</v>
      </c>
      <c r="AQ72" t="s">
        <v>481</v>
      </c>
      <c r="AR72" t="s">
        <v>346</v>
      </c>
      <c r="AS72" t="s">
        <v>96</v>
      </c>
      <c r="AT72" t="s">
        <v>482</v>
      </c>
      <c r="AU72" t="s">
        <v>483</v>
      </c>
      <c r="AV72" t="s">
        <v>357</v>
      </c>
      <c r="AW72" t="s">
        <v>336</v>
      </c>
      <c r="AX72">
        <f>(38/$M72)</f>
        <v>633.33333333333337</v>
      </c>
      <c r="AY72" s="51">
        <f>(34/$M72)</f>
        <v>566.66666666666674</v>
      </c>
      <c r="AZ72" s="51">
        <f>AX72+AX72*((100-Q72)/100)</f>
        <v>791.66666666666674</v>
      </c>
      <c r="BA72">
        <f>AY72+AY72*((100-Q72)/100)</f>
        <v>708.33333333333348</v>
      </c>
      <c r="BB72">
        <f>(100/$M72)</f>
        <v>1666.6666666666667</v>
      </c>
      <c r="BC72">
        <f>BB72+(BB72*Q72)/(100-Q72)</f>
        <v>6666.666666666667</v>
      </c>
      <c r="BD72" t="s">
        <v>90</v>
      </c>
      <c r="BE72" t="s">
        <v>90</v>
      </c>
      <c r="BF72">
        <f>AX72/AZ72+AY72/BA72+BB72/BC72</f>
        <v>1.8499999999999999</v>
      </c>
      <c r="BG72">
        <v>1800</v>
      </c>
      <c r="BH72" t="s">
        <v>90</v>
      </c>
      <c r="BI72" t="s">
        <v>426</v>
      </c>
      <c r="BJ72" t="s">
        <v>438</v>
      </c>
      <c r="BK72" t="s">
        <v>383</v>
      </c>
      <c r="BL72" s="24">
        <v>13</v>
      </c>
      <c r="BM72" t="s">
        <v>397</v>
      </c>
      <c r="BN72" t="s">
        <v>110</v>
      </c>
      <c r="BO72">
        <v>1</v>
      </c>
      <c r="BP72" s="24" t="s">
        <v>339</v>
      </c>
      <c r="BQ72" t="s">
        <v>340</v>
      </c>
      <c r="BR72">
        <v>5.91</v>
      </c>
      <c r="BS72" s="24">
        <v>0.1666</v>
      </c>
      <c r="BT72" s="26">
        <v>50.516605599999998</v>
      </c>
      <c r="BU72" s="26">
        <v>39.252654999999997</v>
      </c>
      <c r="BV72" s="26">
        <v>10.2307173</v>
      </c>
      <c r="BW72" s="26" t="s">
        <v>71</v>
      </c>
      <c r="BX72" s="26">
        <v>63</v>
      </c>
      <c r="BY72" s="26">
        <v>41.231999999999999</v>
      </c>
      <c r="BZ72" s="26">
        <v>103.768</v>
      </c>
      <c r="CA72" s="26">
        <v>145</v>
      </c>
      <c r="CB72">
        <f>IF(AZ72&lt;&gt;"NA",(10000/AZ72)*(125/365),(10000/BA72)*(125/365))</f>
        <v>4.3258832011535677</v>
      </c>
      <c r="CC72">
        <f>IF(BA72&lt;&gt;"NA",(10000/BA72)*(125/365),(10000/AZ72)*(125/365))</f>
        <v>4.8348106365833994</v>
      </c>
      <c r="CD72">
        <f>AE72/AVERAGE(AZ72,BA72)</f>
        <v>0.22222222222222221</v>
      </c>
      <c r="CE72">
        <f>1.911*IF(AX72&lt;&gt;"NA", AVERAGE(AX72,AY72), AVERAGE(AZ72,BA72))</f>
        <v>1146.5999999999999</v>
      </c>
      <c r="CF72">
        <v>5</v>
      </c>
      <c r="CG72" s="27">
        <f>(CF72/N72)/IF(AX72&lt;&gt;"NA", AX72,AY72)</f>
        <v>0.13157894736842107</v>
      </c>
      <c r="CH72">
        <f>CF72/N72</f>
        <v>83.333333333333343</v>
      </c>
    </row>
    <row r="73" spans="1:86" ht="15.6" x14ac:dyDescent="0.3">
      <c r="A73">
        <v>72</v>
      </c>
      <c r="B73" s="35" t="s">
        <v>484</v>
      </c>
      <c r="C73" t="s">
        <v>87</v>
      </c>
      <c r="D73" s="22">
        <v>-2.3107169999999999</v>
      </c>
      <c r="E73" s="22">
        <v>28.895977999999999</v>
      </c>
      <c r="F73">
        <v>1575</v>
      </c>
      <c r="G73" s="36" t="s">
        <v>319</v>
      </c>
      <c r="H73" s="38" t="s">
        <v>320</v>
      </c>
      <c r="I73">
        <v>56</v>
      </c>
      <c r="J73" t="s">
        <v>115</v>
      </c>
      <c r="K73" t="s">
        <v>420</v>
      </c>
      <c r="L73" t="s">
        <v>363</v>
      </c>
      <c r="M73">
        <f>74*20/10000</f>
        <v>0.14799999999999999</v>
      </c>
      <c r="N73">
        <f t="shared" si="3"/>
        <v>0.14799999999999999</v>
      </c>
      <c r="O73" t="s">
        <v>485</v>
      </c>
      <c r="P73" t="s">
        <v>344</v>
      </c>
      <c r="Q73">
        <v>70</v>
      </c>
      <c r="R73" s="19">
        <v>44821</v>
      </c>
      <c r="S73" s="19">
        <v>44956</v>
      </c>
      <c r="T73" t="s">
        <v>475</v>
      </c>
      <c r="U73" t="s">
        <v>486</v>
      </c>
      <c r="V73" t="s">
        <v>324</v>
      </c>
      <c r="W73">
        <v>20</v>
      </c>
      <c r="X73" t="s">
        <v>100</v>
      </c>
      <c r="Y73" t="s">
        <v>101</v>
      </c>
      <c r="Z73">
        <v>2</v>
      </c>
      <c r="AA73" t="s">
        <v>329</v>
      </c>
      <c r="AB73" t="s">
        <v>409</v>
      </c>
      <c r="AC73" s="25" t="s">
        <v>90</v>
      </c>
      <c r="AD73">
        <v>15</v>
      </c>
      <c r="AE73" s="24">
        <f t="shared" si="4"/>
        <v>144.78764478764478</v>
      </c>
      <c r="AF73" t="s">
        <v>96</v>
      </c>
      <c r="AG73" t="s">
        <v>101</v>
      </c>
      <c r="AH73" s="25" t="s">
        <v>90</v>
      </c>
      <c r="AI73" s="25" t="s">
        <v>90</v>
      </c>
      <c r="AJ73" t="s">
        <v>390</v>
      </c>
      <c r="AK73" t="s">
        <v>329</v>
      </c>
      <c r="AL73" t="s">
        <v>423</v>
      </c>
      <c r="AM73">
        <v>1</v>
      </c>
      <c r="AN73" t="s">
        <v>331</v>
      </c>
      <c r="AO73" s="25" t="s">
        <v>90</v>
      </c>
      <c r="AP73" t="s">
        <v>424</v>
      </c>
      <c r="AQ73" t="s">
        <v>481</v>
      </c>
      <c r="AR73">
        <v>10</v>
      </c>
      <c r="AS73" t="s">
        <v>96</v>
      </c>
      <c r="AT73" t="s">
        <v>476</v>
      </c>
      <c r="AU73" t="s">
        <v>416</v>
      </c>
      <c r="AV73" t="s">
        <v>357</v>
      </c>
      <c r="AW73" t="s">
        <v>336</v>
      </c>
      <c r="AX73" t="s">
        <v>90</v>
      </c>
      <c r="AY73" s="51">
        <f>(75/$M73)</f>
        <v>506.75675675675677</v>
      </c>
      <c r="AZ73" s="51" t="s">
        <v>90</v>
      </c>
      <c r="BA73">
        <f>AY73+AY73*((100-Q73)/100)</f>
        <v>658.78378378378375</v>
      </c>
      <c r="BB73">
        <f>(100/$M73)</f>
        <v>675.67567567567573</v>
      </c>
      <c r="BC73">
        <f>BB73+(BB73*Q73)/(100-Q73)</f>
        <v>2252.2522522522522</v>
      </c>
      <c r="BD73">
        <f>(40/$M73)</f>
        <v>270.27027027027026</v>
      </c>
      <c r="BE73">
        <f>BD73+(BD73*Q73)/(100-Q73)</f>
        <v>900.90090090090075</v>
      </c>
      <c r="BF73">
        <f>AY73/BA73+BB73/BC73+BD73/BE73</f>
        <v>1.3692307692307695</v>
      </c>
      <c r="BG73">
        <v>1800</v>
      </c>
      <c r="BH73" s="25" t="s">
        <v>90</v>
      </c>
      <c r="BI73" t="s">
        <v>426</v>
      </c>
      <c r="BJ73" t="s">
        <v>438</v>
      </c>
      <c r="BK73" t="s">
        <v>383</v>
      </c>
      <c r="BL73" s="24">
        <v>13</v>
      </c>
      <c r="BM73" t="s">
        <v>397</v>
      </c>
      <c r="BN73" t="s">
        <v>110</v>
      </c>
      <c r="BO73">
        <v>1</v>
      </c>
      <c r="BP73" s="24" t="s">
        <v>339</v>
      </c>
      <c r="BQ73" t="s">
        <v>340</v>
      </c>
      <c r="BR73">
        <v>6.09</v>
      </c>
      <c r="BS73" s="24">
        <v>0.24510000000000001</v>
      </c>
      <c r="BT73" s="26">
        <v>22.57915186</v>
      </c>
      <c r="BU73" s="26">
        <v>52.963509999999999</v>
      </c>
      <c r="BV73" s="26">
        <v>24.457330509999998</v>
      </c>
      <c r="BW73" s="26" t="s">
        <v>163</v>
      </c>
      <c r="BX73" s="26">
        <v>88</v>
      </c>
      <c r="BY73" s="26">
        <v>82.768000000000001</v>
      </c>
      <c r="BZ73" s="26">
        <v>62.231999999999999</v>
      </c>
      <c r="CA73" s="26">
        <v>145</v>
      </c>
      <c r="CB73">
        <f>IF(AZ73&lt;&gt;"NA",(10000/AZ73)*(125/365),(10000/BA73)*(125/365))</f>
        <v>5.1984545135230071</v>
      </c>
      <c r="CC73">
        <f>IF(BA73&lt;&gt;"NA",(10000/BA73)*(125/365),(10000/AZ73)*(125/365))</f>
        <v>5.1984545135230071</v>
      </c>
      <c r="CD73">
        <f>AE73/AVERAGE(AZ73,BA73)</f>
        <v>0.21978021978021978</v>
      </c>
      <c r="CE73">
        <f>1.911*IF(AX73&lt;&gt;"NA", AVERAGE(AX73,AY73), AVERAGE(AZ73,BA73))</f>
        <v>1258.9358108108108</v>
      </c>
      <c r="CF73">
        <v>15</v>
      </c>
      <c r="CG73" s="27">
        <f>(CF73/N73)/IF(AX73&lt;&gt;"NA", AX73,AY73)</f>
        <v>0.2</v>
      </c>
      <c r="CH73">
        <f>CF73/N73</f>
        <v>101.35135135135135</v>
      </c>
    </row>
    <row r="74" spans="1:86" ht="15.6" x14ac:dyDescent="0.3">
      <c r="A74">
        <v>73</v>
      </c>
      <c r="B74" s="35" t="s">
        <v>487</v>
      </c>
      <c r="C74" t="s">
        <v>87</v>
      </c>
      <c r="D74" s="22">
        <v>-2.316675</v>
      </c>
      <c r="E74" s="22">
        <v>28.887429999999998</v>
      </c>
      <c r="F74">
        <v>1523</v>
      </c>
      <c r="G74" s="36" t="s">
        <v>319</v>
      </c>
      <c r="H74" s="38" t="s">
        <v>320</v>
      </c>
      <c r="I74">
        <v>61</v>
      </c>
      <c r="J74" t="s">
        <v>115</v>
      </c>
      <c r="K74" t="s">
        <v>488</v>
      </c>
      <c r="L74" t="s">
        <v>488</v>
      </c>
      <c r="M74">
        <f>35*12/10000</f>
        <v>4.2000000000000003E-2</v>
      </c>
      <c r="N74">
        <f t="shared" si="3"/>
        <v>4.2000000000000003E-2</v>
      </c>
      <c r="O74" t="s">
        <v>488</v>
      </c>
      <c r="P74" t="s">
        <v>93</v>
      </c>
      <c r="Q74">
        <v>60</v>
      </c>
      <c r="R74" s="19">
        <v>44834</v>
      </c>
      <c r="S74" s="19">
        <v>44962</v>
      </c>
      <c r="T74" t="s">
        <v>415</v>
      </c>
      <c r="U74" t="s">
        <v>489</v>
      </c>
      <c r="V74" t="s">
        <v>324</v>
      </c>
      <c r="W74">
        <v>20</v>
      </c>
      <c r="X74" t="s">
        <v>100</v>
      </c>
      <c r="Y74" t="s">
        <v>101</v>
      </c>
      <c r="Z74">
        <v>2</v>
      </c>
      <c r="AA74" t="s">
        <v>490</v>
      </c>
      <c r="AB74" t="s">
        <v>409</v>
      </c>
      <c r="AC74" s="25" t="s">
        <v>90</v>
      </c>
      <c r="AD74">
        <v>2</v>
      </c>
      <c r="AE74" s="24">
        <f t="shared" si="4"/>
        <v>79.365079365079367</v>
      </c>
      <c r="AF74" t="s">
        <v>96</v>
      </c>
      <c r="AG74" t="s">
        <v>101</v>
      </c>
      <c r="AH74" s="25" t="s">
        <v>90</v>
      </c>
      <c r="AI74" s="25" t="s">
        <v>90</v>
      </c>
      <c r="AJ74" t="s">
        <v>390</v>
      </c>
      <c r="AK74" t="s">
        <v>329</v>
      </c>
      <c r="AL74" t="s">
        <v>423</v>
      </c>
      <c r="AM74">
        <v>2</v>
      </c>
      <c r="AN74" t="s">
        <v>331</v>
      </c>
      <c r="AO74" s="25" t="s">
        <v>90</v>
      </c>
      <c r="AP74" t="s">
        <v>332</v>
      </c>
      <c r="AQ74" t="s">
        <v>332</v>
      </c>
      <c r="AR74">
        <v>15</v>
      </c>
      <c r="AS74" t="s">
        <v>96</v>
      </c>
      <c r="AT74" t="s">
        <v>491</v>
      </c>
      <c r="AU74" t="s">
        <v>492</v>
      </c>
      <c r="AV74" t="s">
        <v>357</v>
      </c>
      <c r="AW74" t="s">
        <v>336</v>
      </c>
      <c r="AX74">
        <f>(30/$M74)</f>
        <v>714.28571428571422</v>
      </c>
      <c r="AY74" s="51">
        <f>(22.5/$M74)</f>
        <v>535.71428571428567</v>
      </c>
      <c r="AZ74" s="51">
        <f>AX74+AX74*((100-Q74)/100)</f>
        <v>1000</v>
      </c>
      <c r="BA74">
        <f>AY74+AY74*((100-Q74)/100)</f>
        <v>750</v>
      </c>
      <c r="BB74">
        <f>(100/$M74)</f>
        <v>2380.9523809523807</v>
      </c>
      <c r="BC74">
        <f>BB74+(BB74*Q74)/(100-Q74)</f>
        <v>5952.3809523809523</v>
      </c>
      <c r="BD74">
        <f>(20/$M74)</f>
        <v>476.19047619047615</v>
      </c>
      <c r="BE74">
        <f>BD74+(BD74*Q74)/(100-Q74)</f>
        <v>1190.4761904761904</v>
      </c>
      <c r="BF74">
        <f>AX74/AZ74+BB74/BC74+BD74/BE74</f>
        <v>1.5142857142857142</v>
      </c>
      <c r="BG74">
        <v>1800</v>
      </c>
      <c r="BH74" s="25" t="s">
        <v>90</v>
      </c>
      <c r="BI74" t="s">
        <v>426</v>
      </c>
      <c r="BJ74" t="s">
        <v>438</v>
      </c>
      <c r="BK74" t="s">
        <v>383</v>
      </c>
      <c r="BL74" s="24">
        <v>13</v>
      </c>
      <c r="BM74" t="s">
        <v>397</v>
      </c>
      <c r="BN74" t="s">
        <v>110</v>
      </c>
      <c r="BO74">
        <v>1</v>
      </c>
      <c r="BP74" s="24" t="s">
        <v>339</v>
      </c>
      <c r="BQ74" t="s">
        <v>340</v>
      </c>
      <c r="BR74">
        <v>5.38</v>
      </c>
      <c r="BS74" s="24">
        <v>0.20780000000000001</v>
      </c>
      <c r="BT74" s="26">
        <v>80.807138499999994</v>
      </c>
      <c r="BU74" s="26">
        <v>19.1928853</v>
      </c>
      <c r="BV74" s="26">
        <v>0</v>
      </c>
      <c r="BW74" s="26" t="s">
        <v>71</v>
      </c>
      <c r="BX74" s="26">
        <v>63</v>
      </c>
      <c r="BY74" s="26">
        <v>67.536000000000001</v>
      </c>
      <c r="BZ74" s="26">
        <v>77.463999999999999</v>
      </c>
      <c r="CA74" s="26">
        <v>145</v>
      </c>
      <c r="CB74">
        <f>IF(AZ74&lt;&gt;"NA",(10000/AZ74)*(125/365),(10000/BA74)*(125/365))</f>
        <v>3.4246575342465753</v>
      </c>
      <c r="CC74">
        <f>IF(BA74&lt;&gt;"NA",(10000/BA74)*(125/365),(10000/AZ74)*(125/365))</f>
        <v>4.5662100456621006</v>
      </c>
      <c r="CD74">
        <f>AE74/AVERAGE(AZ74,BA74)</f>
        <v>9.0702947845804988E-2</v>
      </c>
      <c r="CE74">
        <f>1.911*IF(AX74&lt;&gt;"NA", AVERAGE(AX74,AY74), AVERAGE(AZ74,BA74))</f>
        <v>1194.375</v>
      </c>
      <c r="CF74">
        <v>0</v>
      </c>
      <c r="CG74" s="27">
        <f>(CF74/N74)/IF(AX74&lt;&gt;"NA", AX74,AY74)</f>
        <v>0</v>
      </c>
      <c r="CH74">
        <f>CF74/N74</f>
        <v>0</v>
      </c>
    </row>
    <row r="75" spans="1:86" ht="15.6" x14ac:dyDescent="0.3">
      <c r="A75">
        <v>74</v>
      </c>
      <c r="B75" s="35" t="s">
        <v>493</v>
      </c>
      <c r="C75" t="s">
        <v>87</v>
      </c>
      <c r="D75" s="22">
        <v>-2.3175810000000001</v>
      </c>
      <c r="E75" s="22">
        <v>28.887045000000001</v>
      </c>
      <c r="F75">
        <v>1540</v>
      </c>
      <c r="G75" s="36" t="s">
        <v>319</v>
      </c>
      <c r="H75" s="38" t="s">
        <v>320</v>
      </c>
      <c r="I75">
        <v>52</v>
      </c>
      <c r="J75" t="s">
        <v>91</v>
      </c>
      <c r="K75" t="s">
        <v>494</v>
      </c>
      <c r="L75" t="s">
        <v>363</v>
      </c>
      <c r="M75">
        <f>30*21/10000</f>
        <v>6.3E-2</v>
      </c>
      <c r="N75">
        <f t="shared" si="3"/>
        <v>6.3E-2</v>
      </c>
      <c r="O75" t="s">
        <v>495</v>
      </c>
      <c r="P75" t="s">
        <v>93</v>
      </c>
      <c r="Q75">
        <v>60</v>
      </c>
      <c r="R75" s="19">
        <v>44834</v>
      </c>
      <c r="S75" s="19">
        <v>44962</v>
      </c>
      <c r="T75" t="s">
        <v>92</v>
      </c>
      <c r="U75" t="s">
        <v>264</v>
      </c>
      <c r="V75" t="s">
        <v>324</v>
      </c>
      <c r="W75">
        <v>20</v>
      </c>
      <c r="X75" t="s">
        <v>100</v>
      </c>
      <c r="Y75" t="s">
        <v>101</v>
      </c>
      <c r="Z75">
        <v>2</v>
      </c>
      <c r="AA75" t="s">
        <v>329</v>
      </c>
      <c r="AB75" t="s">
        <v>429</v>
      </c>
      <c r="AC75" s="25" t="s">
        <v>90</v>
      </c>
      <c r="AD75">
        <v>3</v>
      </c>
      <c r="AE75" s="24">
        <f t="shared" si="4"/>
        <v>79.365079365079367</v>
      </c>
      <c r="AF75" t="s">
        <v>96</v>
      </c>
      <c r="AG75" t="s">
        <v>101</v>
      </c>
      <c r="AH75" s="25" t="s">
        <v>90</v>
      </c>
      <c r="AI75" s="25" t="s">
        <v>90</v>
      </c>
      <c r="AJ75" t="s">
        <v>390</v>
      </c>
      <c r="AK75" t="s">
        <v>329</v>
      </c>
      <c r="AL75" t="s">
        <v>423</v>
      </c>
      <c r="AM75" t="s">
        <v>329</v>
      </c>
      <c r="AN75" t="s">
        <v>331</v>
      </c>
      <c r="AO75" s="25" t="s">
        <v>90</v>
      </c>
      <c r="AP75" t="s">
        <v>496</v>
      </c>
      <c r="AQ75" s="25" t="s">
        <v>90</v>
      </c>
      <c r="AR75">
        <v>5</v>
      </c>
      <c r="AS75" t="s">
        <v>96</v>
      </c>
      <c r="AT75" t="s">
        <v>497</v>
      </c>
      <c r="AU75" s="25" t="s">
        <v>90</v>
      </c>
      <c r="AV75" t="s">
        <v>357</v>
      </c>
      <c r="AW75" t="s">
        <v>336</v>
      </c>
      <c r="AX75">
        <f>(15/$M75)</f>
        <v>238.0952380952381</v>
      </c>
      <c r="AY75" s="51">
        <f>(15/$M75)</f>
        <v>238.0952380952381</v>
      </c>
      <c r="AZ75" s="51">
        <f>AX75+AX75*((100-Q75)/100)</f>
        <v>333.33333333333337</v>
      </c>
      <c r="BA75">
        <f>AY75+AY75*((100-Q75)/100)</f>
        <v>333.33333333333337</v>
      </c>
      <c r="BB75">
        <f>(100/$M75)</f>
        <v>1587.3015873015872</v>
      </c>
      <c r="BC75">
        <f>BB75+(BB75*Q75)/(100-Q75)</f>
        <v>3968.2539682539682</v>
      </c>
      <c r="BD75" t="s">
        <v>90</v>
      </c>
      <c r="BE75" t="s">
        <v>90</v>
      </c>
      <c r="BF75">
        <f>AX75/AZ75+BB75/BC75</f>
        <v>1.1142857142857141</v>
      </c>
      <c r="BG75">
        <v>1800</v>
      </c>
      <c r="BH75" s="25" t="s">
        <v>90</v>
      </c>
      <c r="BI75" t="s">
        <v>426</v>
      </c>
      <c r="BJ75" s="25" t="s">
        <v>90</v>
      </c>
      <c r="BK75" t="s">
        <v>383</v>
      </c>
      <c r="BL75" s="24">
        <v>13</v>
      </c>
      <c r="BM75" t="s">
        <v>397</v>
      </c>
      <c r="BN75" t="s">
        <v>110</v>
      </c>
      <c r="BO75">
        <v>0</v>
      </c>
      <c r="BP75" t="s">
        <v>132</v>
      </c>
      <c r="BQ75" t="s">
        <v>371</v>
      </c>
      <c r="BR75">
        <v>6.09</v>
      </c>
      <c r="BS75" s="24">
        <v>0.23449999999999999</v>
      </c>
      <c r="BT75" s="26">
        <v>79.341661700000003</v>
      </c>
      <c r="BU75" s="26">
        <v>20.658335600000001</v>
      </c>
      <c r="BV75" s="26">
        <v>0</v>
      </c>
      <c r="BW75" s="26" t="s">
        <v>71</v>
      </c>
      <c r="BX75" s="26">
        <v>63</v>
      </c>
      <c r="BY75" s="26">
        <v>70.992000000000004</v>
      </c>
      <c r="BZ75" s="26">
        <v>74.007999999999996</v>
      </c>
      <c r="CA75" s="26">
        <v>145</v>
      </c>
      <c r="CB75">
        <f>IF(AZ75&lt;&gt;"NA",(10000/AZ75)*(125/365),(10000/BA75)*(125/365))</f>
        <v>10.273972602739724</v>
      </c>
      <c r="CC75">
        <f>IF(BA75&lt;&gt;"NA",(10000/BA75)*(125/365),(10000/AZ75)*(125/365))</f>
        <v>10.273972602739724</v>
      </c>
      <c r="CD75">
        <f>AE75/AVERAGE(AZ75,BA75)</f>
        <v>0.23809523809523808</v>
      </c>
      <c r="CE75">
        <f>1.911*IF(AX75&lt;&gt;"NA", AVERAGE(AX75,AY75), AVERAGE(AZ75,BA75))</f>
        <v>455</v>
      </c>
      <c r="CF75">
        <v>30</v>
      </c>
      <c r="CG75" s="27">
        <f>(CF75/N75)/IF(AX75&lt;&gt;"NA", AX75,AY75)</f>
        <v>2</v>
      </c>
      <c r="CH75">
        <f>CF75/N75</f>
        <v>476.1904761904762</v>
      </c>
    </row>
    <row r="76" spans="1:86" ht="15.6" x14ac:dyDescent="0.3">
      <c r="A76">
        <v>75</v>
      </c>
      <c r="B76" s="35" t="s">
        <v>498</v>
      </c>
      <c r="C76" t="s">
        <v>134</v>
      </c>
      <c r="D76" s="22">
        <v>-2.3099210000000001</v>
      </c>
      <c r="E76" s="22">
        <v>28.881817999999999</v>
      </c>
      <c r="F76">
        <v>1579</v>
      </c>
      <c r="G76" s="36" t="s">
        <v>319</v>
      </c>
      <c r="H76" s="38" t="s">
        <v>320</v>
      </c>
      <c r="I76">
        <v>62</v>
      </c>
      <c r="J76" t="s">
        <v>91</v>
      </c>
      <c r="K76" t="s">
        <v>450</v>
      </c>
      <c r="L76" t="s">
        <v>499</v>
      </c>
      <c r="M76">
        <f>16*12/10000</f>
        <v>1.9199999999999998E-2</v>
      </c>
      <c r="N76">
        <f t="shared" si="3"/>
        <v>1.9199999999999998E-2</v>
      </c>
      <c r="O76" t="s">
        <v>450</v>
      </c>
      <c r="P76" t="s">
        <v>93</v>
      </c>
      <c r="Q76">
        <v>50</v>
      </c>
      <c r="R76" s="19">
        <v>44839</v>
      </c>
      <c r="S76" s="19">
        <v>44979</v>
      </c>
      <c r="T76" t="s">
        <v>415</v>
      </c>
      <c r="U76" t="s">
        <v>365</v>
      </c>
      <c r="V76" t="s">
        <v>324</v>
      </c>
      <c r="W76">
        <v>20</v>
      </c>
      <c r="X76" t="s">
        <v>100</v>
      </c>
      <c r="Y76" t="s">
        <v>101</v>
      </c>
      <c r="Z76">
        <v>1</v>
      </c>
      <c r="AA76" t="s">
        <v>329</v>
      </c>
      <c r="AB76" t="s">
        <v>409</v>
      </c>
      <c r="AC76" s="25" t="s">
        <v>90</v>
      </c>
      <c r="AD76">
        <v>2.25</v>
      </c>
      <c r="AE76" s="24">
        <f t="shared" si="4"/>
        <v>234.37500000000003</v>
      </c>
      <c r="AF76" t="s">
        <v>96</v>
      </c>
      <c r="AG76" t="s">
        <v>101</v>
      </c>
      <c r="AH76" s="25" t="s">
        <v>90</v>
      </c>
      <c r="AI76" s="25" t="s">
        <v>90</v>
      </c>
      <c r="AJ76" t="s">
        <v>390</v>
      </c>
      <c r="AK76" t="s">
        <v>329</v>
      </c>
      <c r="AL76" t="s">
        <v>423</v>
      </c>
      <c r="AM76" t="s">
        <v>329</v>
      </c>
      <c r="AN76" t="s">
        <v>331</v>
      </c>
      <c r="AO76" s="25" t="s">
        <v>90</v>
      </c>
      <c r="AP76" t="s">
        <v>332</v>
      </c>
      <c r="AQ76" t="s">
        <v>332</v>
      </c>
      <c r="AR76">
        <v>10</v>
      </c>
      <c r="AS76" t="s">
        <v>96</v>
      </c>
      <c r="AT76" t="s">
        <v>355</v>
      </c>
      <c r="AU76" t="s">
        <v>500</v>
      </c>
      <c r="AV76" t="s">
        <v>357</v>
      </c>
      <c r="AW76" t="s">
        <v>336</v>
      </c>
      <c r="AX76">
        <f>(18/$M76)</f>
        <v>937.50000000000011</v>
      </c>
      <c r="AY76" s="51">
        <f>(18/$M76)</f>
        <v>937.50000000000011</v>
      </c>
      <c r="AZ76" s="51">
        <f>AX76+AX76*((100-Q76)/100)</f>
        <v>1406.2500000000002</v>
      </c>
      <c r="BA76">
        <f>AY76+AY76*((100-Q76)/100)</f>
        <v>1406.2500000000002</v>
      </c>
      <c r="BB76" t="s">
        <v>90</v>
      </c>
      <c r="BC76" t="s">
        <v>90</v>
      </c>
      <c r="BD76" t="s">
        <v>90</v>
      </c>
      <c r="BE76" t="s">
        <v>90</v>
      </c>
      <c r="BF76">
        <v>1</v>
      </c>
      <c r="BG76">
        <v>1800</v>
      </c>
      <c r="BH76" s="25" t="s">
        <v>90</v>
      </c>
      <c r="BI76" t="s">
        <v>501</v>
      </c>
      <c r="BJ76" t="s">
        <v>438</v>
      </c>
      <c r="BK76" t="s">
        <v>383</v>
      </c>
      <c r="BL76" s="24">
        <v>13</v>
      </c>
      <c r="BM76" t="s">
        <v>397</v>
      </c>
      <c r="BN76" t="s">
        <v>110</v>
      </c>
      <c r="BO76">
        <v>0</v>
      </c>
      <c r="BP76" t="s">
        <v>132</v>
      </c>
      <c r="BQ76" t="s">
        <v>371</v>
      </c>
      <c r="BR76">
        <v>5.7553950319238902</v>
      </c>
      <c r="BS76" s="24">
        <v>0.19174801964287999</v>
      </c>
      <c r="BT76" s="26"/>
      <c r="BU76" s="26"/>
      <c r="BV76" s="26"/>
      <c r="BW76" s="26"/>
      <c r="BX76" s="26">
        <v>63</v>
      </c>
      <c r="BY76" s="26">
        <v>59.413687292928543</v>
      </c>
      <c r="BZ76" s="26">
        <v>85.586312707071457</v>
      </c>
      <c r="CA76" s="26">
        <v>145</v>
      </c>
      <c r="CB76">
        <f>IF(AZ76&lt;&gt;"NA",(10000/AZ76)*(125/365),(10000/BA76)*(125/365))</f>
        <v>2.4353120243531197</v>
      </c>
      <c r="CC76">
        <f>IF(BA76&lt;&gt;"NA",(10000/BA76)*(125/365),(10000/AZ76)*(125/365))</f>
        <v>2.4353120243531197</v>
      </c>
      <c r="CD76">
        <f>AE76/AVERAGE(AZ76,BA76)</f>
        <v>0.16666666666666666</v>
      </c>
      <c r="CE76">
        <f>1.911*IF(AX76&lt;&gt;"NA", AVERAGE(AX76,AY76), AVERAGE(AZ76,BA76))</f>
        <v>1791.5625000000002</v>
      </c>
      <c r="CF76">
        <v>0</v>
      </c>
      <c r="CG76" s="27">
        <f>(CF76/N76)/IF(AX76&lt;&gt;"NA", AX76,AY76)</f>
        <v>0</v>
      </c>
      <c r="CH76">
        <f>CF76/N76</f>
        <v>0</v>
      </c>
    </row>
    <row r="77" spans="1:86" ht="15.6" x14ac:dyDescent="0.3">
      <c r="A77">
        <v>76</v>
      </c>
      <c r="B77" s="35" t="s">
        <v>502</v>
      </c>
      <c r="C77" t="s">
        <v>134</v>
      </c>
      <c r="D77" s="22">
        <v>-2.36585</v>
      </c>
      <c r="E77" s="22">
        <v>28.868986</v>
      </c>
      <c r="F77">
        <v>1607</v>
      </c>
      <c r="G77" s="36" t="s">
        <v>319</v>
      </c>
      <c r="H77" s="38" t="s">
        <v>320</v>
      </c>
      <c r="I77">
        <v>63</v>
      </c>
      <c r="J77" t="s">
        <v>115</v>
      </c>
      <c r="K77" t="s">
        <v>503</v>
      </c>
      <c r="L77" t="s">
        <v>504</v>
      </c>
      <c r="M77">
        <f>59*27/10000</f>
        <v>0.1593</v>
      </c>
      <c r="N77">
        <f t="shared" si="3"/>
        <v>0.1593</v>
      </c>
      <c r="O77" t="s">
        <v>472</v>
      </c>
      <c r="P77" t="s">
        <v>344</v>
      </c>
      <c r="Q77">
        <v>90</v>
      </c>
      <c r="R77" s="19">
        <v>44819</v>
      </c>
      <c r="S77" s="19">
        <v>44962</v>
      </c>
      <c r="T77" t="s">
        <v>415</v>
      </c>
      <c r="U77" t="s">
        <v>505</v>
      </c>
      <c r="V77" t="s">
        <v>324</v>
      </c>
      <c r="W77">
        <v>20</v>
      </c>
      <c r="X77" t="s">
        <v>100</v>
      </c>
      <c r="Y77" t="s">
        <v>101</v>
      </c>
      <c r="Z77">
        <v>1</v>
      </c>
      <c r="AA77" t="s">
        <v>329</v>
      </c>
      <c r="AB77" t="s">
        <v>409</v>
      </c>
      <c r="AC77" s="25" t="s">
        <v>90</v>
      </c>
      <c r="AD77">
        <v>15</v>
      </c>
      <c r="AE77" s="24">
        <f t="shared" si="4"/>
        <v>104.62439840970914</v>
      </c>
      <c r="AF77" t="s">
        <v>96</v>
      </c>
      <c r="AG77" t="s">
        <v>101</v>
      </c>
      <c r="AH77" s="25" t="s">
        <v>90</v>
      </c>
      <c r="AI77" s="25" t="s">
        <v>90</v>
      </c>
      <c r="AJ77" t="s">
        <v>390</v>
      </c>
      <c r="AK77" t="s">
        <v>329</v>
      </c>
      <c r="AL77" t="s">
        <v>423</v>
      </c>
      <c r="AM77">
        <v>2</v>
      </c>
      <c r="AN77" t="s">
        <v>331</v>
      </c>
      <c r="AO77" s="25" t="s">
        <v>90</v>
      </c>
      <c r="AP77" t="s">
        <v>332</v>
      </c>
      <c r="AQ77" t="s">
        <v>332</v>
      </c>
      <c r="AR77" t="s">
        <v>346</v>
      </c>
      <c r="AS77" t="s">
        <v>96</v>
      </c>
      <c r="AT77" t="s">
        <v>506</v>
      </c>
      <c r="AU77" t="s">
        <v>348</v>
      </c>
      <c r="AV77" t="s">
        <v>357</v>
      </c>
      <c r="AW77" t="s">
        <v>336</v>
      </c>
      <c r="AX77">
        <f>(450/$M77)</f>
        <v>2824.8587570621471</v>
      </c>
      <c r="AY77" s="51">
        <f>(250/$M77)</f>
        <v>1569.3659761456372</v>
      </c>
      <c r="AZ77" s="51">
        <f>AX77+AX77*((100-Q77)/100)</f>
        <v>3107.3446327683619</v>
      </c>
      <c r="BA77">
        <f>AY77+AY77*((100-Q77)/100)</f>
        <v>1726.3025737602009</v>
      </c>
      <c r="BB77">
        <f>(420/$M77)</f>
        <v>2636.5348399246705</v>
      </c>
      <c r="BC77">
        <f>BB77+(BB77*Q77)/(100-Q77)</f>
        <v>26365.348399246701</v>
      </c>
      <c r="BD77">
        <f>(30/$M77)</f>
        <v>188.32391713747646</v>
      </c>
      <c r="BE77">
        <f>BD77+(BD77*Q77)/(100-Q77)</f>
        <v>1883.2391713747645</v>
      </c>
      <c r="BF77">
        <f>AX77/AZ77+BB77/BC77+BD77/BE77</f>
        <v>1.1090909090909091</v>
      </c>
      <c r="BG77">
        <v>1800</v>
      </c>
      <c r="BH77" s="25" t="s">
        <v>90</v>
      </c>
      <c r="BI77" t="s">
        <v>426</v>
      </c>
      <c r="BJ77" t="s">
        <v>438</v>
      </c>
      <c r="BK77" t="s">
        <v>383</v>
      </c>
      <c r="BL77" s="24">
        <v>13</v>
      </c>
      <c r="BM77" t="s">
        <v>397</v>
      </c>
      <c r="BN77" t="s">
        <v>110</v>
      </c>
      <c r="BO77">
        <v>1</v>
      </c>
      <c r="BP77" s="24" t="s">
        <v>339</v>
      </c>
      <c r="BQ77" t="s">
        <v>340</v>
      </c>
      <c r="BR77">
        <v>5.8045021626189497</v>
      </c>
      <c r="BS77" s="24">
        <v>0.24004897882751999</v>
      </c>
      <c r="BT77" s="26"/>
      <c r="BU77" s="26"/>
      <c r="BV77" s="26"/>
      <c r="BW77" s="26"/>
      <c r="BX77" s="26">
        <v>63</v>
      </c>
      <c r="BY77" s="26">
        <v>75.272767644855037</v>
      </c>
      <c r="BZ77" s="26">
        <v>69.727232355144963</v>
      </c>
      <c r="CA77" s="26">
        <v>145</v>
      </c>
      <c r="CB77">
        <f>IF(AZ77&lt;&gt;"NA",(10000/AZ77)*(125/365),(10000/BA77)*(125/365))</f>
        <v>1.1021170610211704</v>
      </c>
      <c r="CC77">
        <f>IF(BA77&lt;&gt;"NA",(10000/BA77)*(125/365),(10000/AZ77)*(125/365))</f>
        <v>1.983810709838107</v>
      </c>
      <c r="CD77">
        <f>AE77/AVERAGE(AZ77,BA77)</f>
        <v>4.3290043290043288E-2</v>
      </c>
      <c r="CE77">
        <f>1.911*IF(AX77&lt;&gt;"NA", AVERAGE(AX77,AY77), AVERAGE(AZ77,BA77))</f>
        <v>4198.6817325800375</v>
      </c>
      <c r="CF77">
        <v>40</v>
      </c>
      <c r="CG77" s="27">
        <f>(CF77/N77)/IF(AX77&lt;&gt;"NA", AX77,AY77)</f>
        <v>8.8888888888888878E-2</v>
      </c>
      <c r="CH77">
        <f>CF77/N77</f>
        <v>251.09855618330195</v>
      </c>
    </row>
    <row r="78" spans="1:86" ht="15.6" x14ac:dyDescent="0.3">
      <c r="A78">
        <v>77</v>
      </c>
      <c r="B78" s="35" t="s">
        <v>507</v>
      </c>
      <c r="C78" t="s">
        <v>87</v>
      </c>
      <c r="D78" s="22">
        <v>-2.3649610000000001</v>
      </c>
      <c r="E78" s="22">
        <v>28.869109000000002</v>
      </c>
      <c r="F78">
        <v>1615</v>
      </c>
      <c r="G78" s="36" t="s">
        <v>319</v>
      </c>
      <c r="H78" s="38" t="s">
        <v>320</v>
      </c>
      <c r="I78">
        <v>50</v>
      </c>
      <c r="J78" t="s">
        <v>91</v>
      </c>
      <c r="K78" t="s">
        <v>508</v>
      </c>
      <c r="L78" t="s">
        <v>509</v>
      </c>
      <c r="M78">
        <f>70*30/10000</f>
        <v>0.21</v>
      </c>
      <c r="N78">
        <f t="shared" si="3"/>
        <v>0.21</v>
      </c>
      <c r="O78" t="s">
        <v>510</v>
      </c>
      <c r="P78" t="s">
        <v>93</v>
      </c>
      <c r="Q78">
        <v>40</v>
      </c>
      <c r="R78" s="19">
        <v>44844</v>
      </c>
      <c r="S78" s="19">
        <v>44972</v>
      </c>
      <c r="T78" t="s">
        <v>415</v>
      </c>
      <c r="U78" t="s">
        <v>511</v>
      </c>
      <c r="V78" t="s">
        <v>324</v>
      </c>
      <c r="W78">
        <v>20</v>
      </c>
      <c r="X78" t="s">
        <v>100</v>
      </c>
      <c r="Y78" t="s">
        <v>101</v>
      </c>
      <c r="Z78">
        <v>1</v>
      </c>
      <c r="AA78" t="s">
        <v>329</v>
      </c>
      <c r="AB78" t="s">
        <v>409</v>
      </c>
      <c r="AC78" s="25" t="s">
        <v>90</v>
      </c>
      <c r="AD78">
        <v>5</v>
      </c>
      <c r="AE78" s="24">
        <f t="shared" si="4"/>
        <v>59.523809523809518</v>
      </c>
      <c r="AF78" t="s">
        <v>96</v>
      </c>
      <c r="AG78" t="s">
        <v>101</v>
      </c>
      <c r="AH78" s="25" t="s">
        <v>90</v>
      </c>
      <c r="AI78" s="25" t="s">
        <v>90</v>
      </c>
      <c r="AJ78" t="s">
        <v>390</v>
      </c>
      <c r="AK78" t="s">
        <v>329</v>
      </c>
      <c r="AL78" t="s">
        <v>423</v>
      </c>
      <c r="AM78">
        <v>1</v>
      </c>
      <c r="AN78" t="s">
        <v>331</v>
      </c>
      <c r="AO78" s="25" t="s">
        <v>90</v>
      </c>
      <c r="AP78" t="s">
        <v>332</v>
      </c>
      <c r="AQ78" s="25" t="s">
        <v>90</v>
      </c>
      <c r="AR78" t="s">
        <v>346</v>
      </c>
      <c r="AS78" t="s">
        <v>96</v>
      </c>
      <c r="AT78" t="s">
        <v>512</v>
      </c>
      <c r="AU78" t="s">
        <v>416</v>
      </c>
      <c r="AV78" t="s">
        <v>357</v>
      </c>
      <c r="AW78" t="s">
        <v>336</v>
      </c>
      <c r="AX78">
        <f>(35/$M78)</f>
        <v>166.66666666666669</v>
      </c>
      <c r="AY78" s="51">
        <f>(45/$M78)</f>
        <v>214.28571428571431</v>
      </c>
      <c r="AZ78" s="51">
        <f>AX78+AX78*((100-Q78)/100)</f>
        <v>266.66666666666669</v>
      </c>
      <c r="BA78">
        <f>AY78+AY78*((100-Q78)/100)</f>
        <v>342.85714285714289</v>
      </c>
      <c r="BB78">
        <f>(320/$M78)</f>
        <v>1523.8095238095239</v>
      </c>
      <c r="BC78">
        <f>BB78+(BB78*Q78)/(100-Q78)</f>
        <v>2539.6825396825398</v>
      </c>
      <c r="BD78" t="s">
        <v>90</v>
      </c>
      <c r="BE78" t="s">
        <v>90</v>
      </c>
      <c r="BF78">
        <f>AX78/AZ78+BB78/BC78</f>
        <v>1.2250000000000001</v>
      </c>
      <c r="BG78">
        <v>1800</v>
      </c>
      <c r="BH78" s="25" t="s">
        <v>90</v>
      </c>
      <c r="BI78" s="25" t="s">
        <v>90</v>
      </c>
      <c r="BJ78" t="s">
        <v>382</v>
      </c>
      <c r="BK78" t="s">
        <v>383</v>
      </c>
      <c r="BL78" s="24">
        <v>13</v>
      </c>
      <c r="BM78" t="s">
        <v>397</v>
      </c>
      <c r="BN78" t="s">
        <v>110</v>
      </c>
      <c r="BO78">
        <v>0</v>
      </c>
      <c r="BP78" s="24" t="s">
        <v>132</v>
      </c>
      <c r="BQ78" t="s">
        <v>371</v>
      </c>
      <c r="BR78">
        <v>4.7</v>
      </c>
      <c r="BS78" s="24">
        <v>9.7000000000000003E-2</v>
      </c>
      <c r="BT78" s="26">
        <v>76.183666099999996</v>
      </c>
      <c r="BU78" s="26">
        <v>23.816319499999999</v>
      </c>
      <c r="BV78" s="26">
        <v>0</v>
      </c>
      <c r="BW78" s="26" t="s">
        <v>71</v>
      </c>
      <c r="BX78" s="26">
        <v>63</v>
      </c>
      <c r="BY78" s="26">
        <v>12.6</v>
      </c>
      <c r="BZ78" s="26">
        <v>132.4</v>
      </c>
      <c r="CA78" s="26">
        <v>145</v>
      </c>
      <c r="CB78">
        <f>IF(AZ78&lt;&gt;"NA",(10000/AZ78)*(125/365),(10000/BA78)*(125/365))</f>
        <v>12.842465753424657</v>
      </c>
      <c r="CC78">
        <f>IF(BA78&lt;&gt;"NA",(10000/BA78)*(125/365),(10000/AZ78)*(125/365))</f>
        <v>9.9885844748858439</v>
      </c>
      <c r="CD78">
        <f>AE78/AVERAGE(AZ78,BA78)</f>
        <v>0.19531249999999994</v>
      </c>
      <c r="CE78">
        <f>1.911*IF(AX78&lt;&gt;"NA", AVERAGE(AX78,AY78), AVERAGE(AZ78,BA78))</f>
        <v>364</v>
      </c>
      <c r="CF78">
        <v>0</v>
      </c>
      <c r="CG78" s="27">
        <f>(CF78/N78)/IF(AX78&lt;&gt;"NA", AX78,AY78)</f>
        <v>0</v>
      </c>
      <c r="CH78">
        <f>CF78/N78</f>
        <v>0</v>
      </c>
    </row>
    <row r="79" spans="1:86" ht="15.6" x14ac:dyDescent="0.3">
      <c r="A79">
        <v>78</v>
      </c>
      <c r="B79" s="35" t="s">
        <v>513</v>
      </c>
      <c r="C79" t="s">
        <v>87</v>
      </c>
      <c r="D79" s="22">
        <v>-2.3650579999999999</v>
      </c>
      <c r="E79" s="22">
        <v>28.865186999999999</v>
      </c>
      <c r="F79">
        <v>1611</v>
      </c>
      <c r="G79" s="36" t="s">
        <v>319</v>
      </c>
      <c r="H79" s="38" t="s">
        <v>320</v>
      </c>
      <c r="I79">
        <v>63</v>
      </c>
      <c r="J79" t="s">
        <v>115</v>
      </c>
      <c r="K79" t="s">
        <v>363</v>
      </c>
      <c r="L79" t="s">
        <v>363</v>
      </c>
      <c r="M79">
        <f>27*30/10000</f>
        <v>8.1000000000000003E-2</v>
      </c>
      <c r="N79">
        <f t="shared" si="3"/>
        <v>8.1000000000000003E-2</v>
      </c>
      <c r="O79" t="s">
        <v>363</v>
      </c>
      <c r="P79" t="s">
        <v>93</v>
      </c>
      <c r="Q79">
        <v>60</v>
      </c>
      <c r="R79" s="19">
        <v>44844</v>
      </c>
      <c r="S79" s="19">
        <v>44967</v>
      </c>
      <c r="T79" t="s">
        <v>234</v>
      </c>
      <c r="U79" t="s">
        <v>422</v>
      </c>
      <c r="V79" t="s">
        <v>324</v>
      </c>
      <c r="W79">
        <v>20</v>
      </c>
      <c r="X79" t="s">
        <v>100</v>
      </c>
      <c r="Y79" t="s">
        <v>101</v>
      </c>
      <c r="Z79">
        <v>1</v>
      </c>
      <c r="AA79" t="s">
        <v>329</v>
      </c>
      <c r="AB79" t="s">
        <v>409</v>
      </c>
      <c r="AC79" s="25" t="s">
        <v>90</v>
      </c>
      <c r="AD79">
        <v>3</v>
      </c>
      <c r="AE79" s="24">
        <f t="shared" si="4"/>
        <v>61.728395061728392</v>
      </c>
      <c r="AF79" t="s">
        <v>96</v>
      </c>
      <c r="AG79" t="s">
        <v>101</v>
      </c>
      <c r="AH79" s="25" t="s">
        <v>90</v>
      </c>
      <c r="AI79" s="25" t="s">
        <v>90</v>
      </c>
      <c r="AJ79" t="s">
        <v>390</v>
      </c>
      <c r="AK79" t="s">
        <v>329</v>
      </c>
      <c r="AL79" t="s">
        <v>423</v>
      </c>
      <c r="AM79">
        <v>2</v>
      </c>
      <c r="AN79" t="s">
        <v>331</v>
      </c>
      <c r="AO79" s="25" t="s">
        <v>90</v>
      </c>
      <c r="AP79" t="s">
        <v>514</v>
      </c>
      <c r="AQ79" s="25" t="s">
        <v>90</v>
      </c>
      <c r="AR79" t="s">
        <v>515</v>
      </c>
      <c r="AS79" t="s">
        <v>96</v>
      </c>
      <c r="AT79" t="s">
        <v>355</v>
      </c>
      <c r="AU79" t="s">
        <v>416</v>
      </c>
      <c r="AV79" t="s">
        <v>357</v>
      </c>
      <c r="AW79" t="s">
        <v>336</v>
      </c>
      <c r="AX79">
        <f>(30/$M79)</f>
        <v>370.37037037037038</v>
      </c>
      <c r="AY79" s="51">
        <v>320</v>
      </c>
      <c r="AZ79" s="51">
        <f>AX79+AX79*((100-Q79)/100)</f>
        <v>518.51851851851848</v>
      </c>
      <c r="BA79" t="s">
        <v>90</v>
      </c>
      <c r="BB79">
        <f>(130/$M79)</f>
        <v>1604.9382716049381</v>
      </c>
      <c r="BC79">
        <f>BB79+(BB79*Q79)/(100-Q79)</f>
        <v>4012.3456790123455</v>
      </c>
      <c r="BD79" t="s">
        <v>90</v>
      </c>
      <c r="BE79" t="s">
        <v>90</v>
      </c>
      <c r="BF79">
        <f>AX79/AZ79+BB79/BC79</f>
        <v>1.1142857142857143</v>
      </c>
      <c r="BG79">
        <v>1800</v>
      </c>
      <c r="BH79" s="25" t="s">
        <v>90</v>
      </c>
      <c r="BI79" t="s">
        <v>426</v>
      </c>
      <c r="BJ79" t="s">
        <v>516</v>
      </c>
      <c r="BK79" t="s">
        <v>383</v>
      </c>
      <c r="BL79" s="24">
        <v>13</v>
      </c>
      <c r="BM79" t="s">
        <v>397</v>
      </c>
      <c r="BN79" t="s">
        <v>110</v>
      </c>
      <c r="BO79">
        <v>0</v>
      </c>
      <c r="BP79" s="24" t="s">
        <v>132</v>
      </c>
      <c r="BQ79" t="s">
        <v>371</v>
      </c>
      <c r="BR79">
        <v>5.5</v>
      </c>
      <c r="BS79" s="24">
        <v>0.1211</v>
      </c>
      <c r="BT79" s="26">
        <v>72.992700999999997</v>
      </c>
      <c r="BU79" s="26">
        <v>25.5248138</v>
      </c>
      <c r="BV79" s="26">
        <v>1.4923999999999999</v>
      </c>
      <c r="BW79" s="26" t="s">
        <v>71</v>
      </c>
      <c r="BX79" s="26">
        <v>63</v>
      </c>
      <c r="BY79" s="26">
        <v>44.8</v>
      </c>
      <c r="BZ79" s="26">
        <v>100.2</v>
      </c>
      <c r="CA79" s="26">
        <v>145</v>
      </c>
      <c r="CB79">
        <f>IF(AZ79&lt;&gt;"NA",(10000/AZ79)*(125/365),(10000/BA79)*(125/365))</f>
        <v>6.6046966731898245</v>
      </c>
      <c r="CC79">
        <f>IF(BA79&lt;&gt;"NA",(10000/BA79)*(125/365),(10000/AZ79)*(125/365))</f>
        <v>6.6046966731898245</v>
      </c>
      <c r="CD79">
        <f>AE79/AVERAGE(AZ79,BA79)</f>
        <v>0.11904761904761905</v>
      </c>
      <c r="CE79">
        <f>1.911*IF(AX79&lt;&gt;"NA", AVERAGE(AX79,AY79), AVERAGE(AZ79,BA79))</f>
        <v>659.64888888888902</v>
      </c>
      <c r="CF79">
        <v>20</v>
      </c>
      <c r="CG79" s="27">
        <f>(CF79/N79)/IF(AX79&lt;&gt;"NA", AX79,AY79)</f>
        <v>0.66666666666666663</v>
      </c>
      <c r="CH79">
        <f>CF79/N79</f>
        <v>246.91358024691357</v>
      </c>
    </row>
    <row r="80" spans="1:86" ht="15.6" x14ac:dyDescent="0.3">
      <c r="A80">
        <v>79</v>
      </c>
      <c r="B80" s="35" t="s">
        <v>517</v>
      </c>
      <c r="C80" t="s">
        <v>87</v>
      </c>
      <c r="D80" s="22">
        <v>-2.3611810000000002</v>
      </c>
      <c r="E80" s="22">
        <v>28.860333000000001</v>
      </c>
      <c r="F80">
        <v>1683</v>
      </c>
      <c r="G80" s="36" t="s">
        <v>319</v>
      </c>
      <c r="H80" s="38" t="s">
        <v>320</v>
      </c>
      <c r="I80">
        <v>35</v>
      </c>
      <c r="J80" t="s">
        <v>91</v>
      </c>
      <c r="K80" t="s">
        <v>518</v>
      </c>
      <c r="L80" t="s">
        <v>518</v>
      </c>
      <c r="M80">
        <f>26*25/10000</f>
        <v>6.5000000000000002E-2</v>
      </c>
      <c r="N80">
        <f t="shared" si="3"/>
        <v>6.5000000000000002E-2</v>
      </c>
      <c r="O80" t="s">
        <v>519</v>
      </c>
      <c r="P80" t="s">
        <v>93</v>
      </c>
      <c r="Q80">
        <v>50</v>
      </c>
      <c r="R80" s="19">
        <v>44819</v>
      </c>
      <c r="S80" s="19">
        <v>44972</v>
      </c>
      <c r="T80" t="s">
        <v>518</v>
      </c>
      <c r="U80" t="s">
        <v>520</v>
      </c>
      <c r="V80" t="s">
        <v>324</v>
      </c>
      <c r="W80">
        <v>20</v>
      </c>
      <c r="X80" t="s">
        <v>100</v>
      </c>
      <c r="Y80" t="s">
        <v>101</v>
      </c>
      <c r="Z80">
        <v>2</v>
      </c>
      <c r="AA80" t="s">
        <v>329</v>
      </c>
      <c r="AB80" t="s">
        <v>409</v>
      </c>
      <c r="AC80" t="s">
        <v>103</v>
      </c>
      <c r="AD80">
        <v>4.5</v>
      </c>
      <c r="AE80" s="24">
        <f t="shared" si="4"/>
        <v>138.46153846153845</v>
      </c>
      <c r="AF80" t="s">
        <v>96</v>
      </c>
      <c r="AG80" t="s">
        <v>101</v>
      </c>
      <c r="AH80" s="25" t="s">
        <v>90</v>
      </c>
      <c r="AI80" s="25" t="s">
        <v>90</v>
      </c>
      <c r="AJ80" t="s">
        <v>103</v>
      </c>
      <c r="AK80" t="s">
        <v>103</v>
      </c>
      <c r="AL80" t="s">
        <v>103</v>
      </c>
      <c r="AM80" s="25" t="s">
        <v>90</v>
      </c>
      <c r="AN80" s="25" t="s">
        <v>90</v>
      </c>
      <c r="AO80" s="25" t="s">
        <v>90</v>
      </c>
      <c r="AP80" t="s">
        <v>514</v>
      </c>
      <c r="AQ80" t="s">
        <v>332</v>
      </c>
      <c r="AR80" s="25" t="s">
        <v>90</v>
      </c>
      <c r="AS80" s="25" t="s">
        <v>90</v>
      </c>
      <c r="AT80" s="25" t="s">
        <v>90</v>
      </c>
      <c r="AU80" s="25" t="s">
        <v>90</v>
      </c>
      <c r="AV80" t="s">
        <v>357</v>
      </c>
      <c r="AW80" t="s">
        <v>336</v>
      </c>
      <c r="AX80">
        <f>(60/$M80)</f>
        <v>923.07692307692309</v>
      </c>
      <c r="AY80" s="51">
        <f>(45/$M80)</f>
        <v>692.30769230769226</v>
      </c>
      <c r="AZ80" s="51">
        <f>AX80+AX80*((100-Q80)/100)</f>
        <v>1384.6153846153848</v>
      </c>
      <c r="BA80">
        <f>AY80+AY80*((100-Q80)/100)</f>
        <v>1038.4615384615383</v>
      </c>
      <c r="BB80">
        <f>(45/$M80)</f>
        <v>692.30769230769226</v>
      </c>
      <c r="BC80">
        <f>BB80+(BB80*Q80)/(100-Q80)</f>
        <v>1384.6153846153843</v>
      </c>
      <c r="BD80" t="s">
        <v>90</v>
      </c>
      <c r="BE80" t="s">
        <v>90</v>
      </c>
      <c r="BF80">
        <f>AX80/AZ80+BB80/BC80</f>
        <v>1.1666666666666667</v>
      </c>
      <c r="BG80">
        <v>2000</v>
      </c>
      <c r="BH80" s="25" t="s">
        <v>90</v>
      </c>
      <c r="BI80" t="s">
        <v>521</v>
      </c>
      <c r="BJ80" t="s">
        <v>382</v>
      </c>
      <c r="BK80" t="s">
        <v>383</v>
      </c>
      <c r="BL80" s="24">
        <v>13</v>
      </c>
      <c r="BM80" t="s">
        <v>397</v>
      </c>
      <c r="BN80" t="s">
        <v>110</v>
      </c>
      <c r="BO80">
        <v>0</v>
      </c>
      <c r="BP80" s="24" t="s">
        <v>132</v>
      </c>
      <c r="BQ80" t="s">
        <v>371</v>
      </c>
      <c r="BR80">
        <v>5.14</v>
      </c>
      <c r="BS80" s="24">
        <v>0.1046</v>
      </c>
      <c r="BT80" s="26">
        <v>84.970344400000002</v>
      </c>
      <c r="BU80" s="26">
        <v>15.029638969000001</v>
      </c>
      <c r="BV80" s="26">
        <v>0</v>
      </c>
      <c r="BW80" s="26" t="s">
        <v>71</v>
      </c>
      <c r="BX80" s="26">
        <v>63</v>
      </c>
      <c r="BY80" s="26">
        <v>28.055999999999997</v>
      </c>
      <c r="BZ80" s="26">
        <v>116.944</v>
      </c>
      <c r="CA80" s="26">
        <v>145</v>
      </c>
      <c r="CB80">
        <f>IF(AZ80&lt;&gt;"NA",(10000/AZ80)*(125/365),(10000/BA80)*(125/365))</f>
        <v>2.4733637747336372</v>
      </c>
      <c r="CC80">
        <f>IF(BA80&lt;&gt;"NA",(10000/BA80)*(125/365),(10000/AZ80)*(125/365))</f>
        <v>3.2978183663115175</v>
      </c>
      <c r="CD80">
        <f>AE80/AVERAGE(AZ80,BA80)</f>
        <v>0.11428571428571428</v>
      </c>
      <c r="CE80">
        <f>1.911*IF(AX80&lt;&gt;"NA", AVERAGE(AX80,AY80), AVERAGE(AZ80,BA80))</f>
        <v>1543.5</v>
      </c>
      <c r="CF80">
        <v>5</v>
      </c>
      <c r="CG80" s="27">
        <f>(CF80/N80)/IF(AX80&lt;&gt;"NA", AX80,AY80)</f>
        <v>8.3333333333333329E-2</v>
      </c>
      <c r="CH80">
        <f>CF80/N80</f>
        <v>76.92307692307692</v>
      </c>
    </row>
    <row r="81" spans="1:86" ht="15.6" x14ac:dyDescent="0.3">
      <c r="A81">
        <v>80</v>
      </c>
      <c r="B81" s="35" t="s">
        <v>522</v>
      </c>
      <c r="C81" t="s">
        <v>87</v>
      </c>
      <c r="D81" s="22">
        <v>-2.3589929999999999</v>
      </c>
      <c r="E81" s="22">
        <v>28.859489</v>
      </c>
      <c r="F81">
        <v>1727</v>
      </c>
      <c r="G81" s="36" t="s">
        <v>319</v>
      </c>
      <c r="H81" s="38" t="s">
        <v>320</v>
      </c>
      <c r="I81">
        <v>65</v>
      </c>
      <c r="J81" t="s">
        <v>115</v>
      </c>
      <c r="K81" t="s">
        <v>321</v>
      </c>
      <c r="L81" t="s">
        <v>321</v>
      </c>
      <c r="M81">
        <f>35.5*14.5/10000</f>
        <v>5.1475E-2</v>
      </c>
      <c r="N81">
        <f t="shared" si="3"/>
        <v>5.1475E-2</v>
      </c>
      <c r="O81" t="s">
        <v>234</v>
      </c>
      <c r="P81" t="s">
        <v>93</v>
      </c>
      <c r="Q81">
        <v>85</v>
      </c>
      <c r="R81" s="19">
        <v>44819</v>
      </c>
      <c r="S81" s="19">
        <v>44967</v>
      </c>
      <c r="T81" t="s">
        <v>234</v>
      </c>
      <c r="U81" t="s">
        <v>415</v>
      </c>
      <c r="V81" t="s">
        <v>324</v>
      </c>
      <c r="W81">
        <v>20</v>
      </c>
      <c r="X81" t="s">
        <v>100</v>
      </c>
      <c r="Y81" t="s">
        <v>101</v>
      </c>
      <c r="Z81">
        <v>2</v>
      </c>
      <c r="AA81" t="s">
        <v>329</v>
      </c>
      <c r="AB81" t="s">
        <v>409</v>
      </c>
      <c r="AC81" t="s">
        <v>103</v>
      </c>
      <c r="AD81">
        <v>2.5</v>
      </c>
      <c r="AE81" s="24">
        <f t="shared" si="4"/>
        <v>57.137959603462562</v>
      </c>
      <c r="AF81" s="25" t="s">
        <v>90</v>
      </c>
      <c r="AG81" t="s">
        <v>101</v>
      </c>
      <c r="AH81" t="s">
        <v>523</v>
      </c>
      <c r="AI81" s="25" t="s">
        <v>90</v>
      </c>
      <c r="AJ81" t="s">
        <v>390</v>
      </c>
      <c r="AK81" t="s">
        <v>329</v>
      </c>
      <c r="AL81" t="s">
        <v>524</v>
      </c>
      <c r="AM81">
        <v>1</v>
      </c>
      <c r="AN81" t="s">
        <v>331</v>
      </c>
      <c r="AO81" s="25" t="s">
        <v>90</v>
      </c>
      <c r="AP81" t="s">
        <v>332</v>
      </c>
      <c r="AQ81" t="s">
        <v>332</v>
      </c>
      <c r="AR81">
        <v>25</v>
      </c>
      <c r="AS81" t="s">
        <v>96</v>
      </c>
      <c r="AT81" t="s">
        <v>103</v>
      </c>
      <c r="AU81" t="s">
        <v>103</v>
      </c>
      <c r="AV81" t="s">
        <v>357</v>
      </c>
      <c r="AW81" t="s">
        <v>336</v>
      </c>
      <c r="AX81">
        <f>(80/$M81)</f>
        <v>1554.1525012141817</v>
      </c>
      <c r="AY81" s="51">
        <f>(50/$M81)</f>
        <v>971.34531325886348</v>
      </c>
      <c r="AZ81" s="51">
        <f>AX81+AX81*((100-Q81)/100)</f>
        <v>1787.275376396309</v>
      </c>
      <c r="BA81">
        <f>AY81+AY81*((100-Q81)/100)</f>
        <v>1117.0471102476931</v>
      </c>
      <c r="BB81">
        <f>(65/$M81)</f>
        <v>1262.7489072365227</v>
      </c>
      <c r="BC81">
        <f>BB81+(BB81*Q81)/(100-Q81)</f>
        <v>8418.3260482434835</v>
      </c>
      <c r="BD81" t="s">
        <v>90</v>
      </c>
      <c r="BE81" t="s">
        <v>90</v>
      </c>
      <c r="BF81">
        <f>AX81/AZ81+BB81/BC81</f>
        <v>1.0195652173913043</v>
      </c>
      <c r="BG81">
        <v>2000</v>
      </c>
      <c r="BH81" s="25" t="s">
        <v>90</v>
      </c>
      <c r="BI81" s="25" t="s">
        <v>90</v>
      </c>
      <c r="BJ81" t="s">
        <v>382</v>
      </c>
      <c r="BK81" t="s">
        <v>383</v>
      </c>
      <c r="BL81" s="24">
        <v>13</v>
      </c>
      <c r="BM81" t="s">
        <v>397</v>
      </c>
      <c r="BN81" t="s">
        <v>110</v>
      </c>
      <c r="BO81">
        <v>1</v>
      </c>
      <c r="BP81" s="24" t="s">
        <v>339</v>
      </c>
      <c r="BQ81" t="s">
        <v>340</v>
      </c>
      <c r="BR81">
        <v>4.99</v>
      </c>
      <c r="BS81" s="24">
        <v>9.9000000000000005E-2</v>
      </c>
      <c r="BT81" s="26">
        <v>33.09131696</v>
      </c>
      <c r="BU81" s="26">
        <v>57.739829999999998</v>
      </c>
      <c r="BV81" s="26">
        <v>9.1688629899999992</v>
      </c>
      <c r="BW81" s="26" t="s">
        <v>453</v>
      </c>
      <c r="BX81" s="26">
        <v>63</v>
      </c>
      <c r="BY81" s="26">
        <v>13.200000000000001</v>
      </c>
      <c r="BZ81" s="26">
        <v>131.80000000000001</v>
      </c>
      <c r="CA81" s="26">
        <v>145</v>
      </c>
      <c r="CB81">
        <f>IF(AZ81&lt;&gt;"NA",(10000/AZ81)*(125/365),(10000/BA81)*(125/365))</f>
        <v>1.9161331149493745</v>
      </c>
      <c r="CC81">
        <f>IF(BA81&lt;&gt;"NA",(10000/BA81)*(125/365),(10000/AZ81)*(125/365))</f>
        <v>3.0658129839189989</v>
      </c>
      <c r="CD81">
        <f>AE81/AVERAGE(AZ81,BA81)</f>
        <v>3.9346842415896123E-2</v>
      </c>
      <c r="CE81">
        <f>1.911*IF(AX81&lt;&gt;"NA", AVERAGE(AX81,AY81), AVERAGE(AZ81,BA81))</f>
        <v>2413.1131617289948</v>
      </c>
      <c r="CF81">
        <v>5</v>
      </c>
      <c r="CG81" s="27">
        <f>(CF81/N81)/IF(AX81&lt;&gt;"NA", AX81,AY81)</f>
        <v>6.25E-2</v>
      </c>
      <c r="CH81">
        <f>CF81/N81</f>
        <v>97.134531325886357</v>
      </c>
    </row>
    <row r="82" spans="1:86" ht="15.6" x14ac:dyDescent="0.3">
      <c r="A82">
        <v>81</v>
      </c>
      <c r="B82" s="35" t="s">
        <v>525</v>
      </c>
      <c r="C82" t="s">
        <v>87</v>
      </c>
      <c r="D82" s="22">
        <v>-2.2911609999999998</v>
      </c>
      <c r="E82" s="22">
        <v>28.954671000000001</v>
      </c>
      <c r="F82">
        <v>1469</v>
      </c>
      <c r="G82" s="36" t="s">
        <v>319</v>
      </c>
      <c r="H82" s="38" t="s">
        <v>320</v>
      </c>
      <c r="I82">
        <v>41</v>
      </c>
      <c r="J82" t="s">
        <v>115</v>
      </c>
      <c r="K82" t="s">
        <v>526</v>
      </c>
      <c r="L82" t="s">
        <v>234</v>
      </c>
      <c r="M82">
        <f>106*95/10000</f>
        <v>1.0069999999999999</v>
      </c>
      <c r="N82">
        <f t="shared" si="3"/>
        <v>1.0069999999999999</v>
      </c>
      <c r="O82" t="s">
        <v>400</v>
      </c>
      <c r="P82" t="s">
        <v>322</v>
      </c>
      <c r="Q82">
        <v>60</v>
      </c>
      <c r="R82" s="19">
        <v>44819</v>
      </c>
      <c r="S82" s="19">
        <v>44972</v>
      </c>
      <c r="T82" t="s">
        <v>415</v>
      </c>
      <c r="U82" t="s">
        <v>415</v>
      </c>
      <c r="V82" t="s">
        <v>324</v>
      </c>
      <c r="W82">
        <v>20</v>
      </c>
      <c r="X82" t="s">
        <v>100</v>
      </c>
      <c r="Y82" t="s">
        <v>101</v>
      </c>
      <c r="Z82">
        <v>2</v>
      </c>
      <c r="AA82" t="s">
        <v>329</v>
      </c>
      <c r="AB82" t="s">
        <v>409</v>
      </c>
      <c r="AC82" t="s">
        <v>103</v>
      </c>
      <c r="AD82">
        <v>46.5</v>
      </c>
      <c r="AE82" s="24">
        <f t="shared" si="4"/>
        <v>76.961271102284016</v>
      </c>
      <c r="AF82" t="s">
        <v>96</v>
      </c>
      <c r="AG82" t="s">
        <v>101</v>
      </c>
      <c r="AH82" s="25" t="s">
        <v>90</v>
      </c>
      <c r="AI82" s="25" t="s">
        <v>90</v>
      </c>
      <c r="AJ82" t="s">
        <v>390</v>
      </c>
      <c r="AK82" t="s">
        <v>329</v>
      </c>
      <c r="AL82" t="s">
        <v>423</v>
      </c>
      <c r="AM82">
        <f>1/2</f>
        <v>0.5</v>
      </c>
      <c r="AN82" t="s">
        <v>331</v>
      </c>
      <c r="AO82" s="25" t="s">
        <v>90</v>
      </c>
      <c r="AP82" s="25" t="s">
        <v>90</v>
      </c>
      <c r="AQ82" t="s">
        <v>481</v>
      </c>
      <c r="AR82" t="s">
        <v>346</v>
      </c>
      <c r="AS82" t="s">
        <v>96</v>
      </c>
      <c r="AT82" t="s">
        <v>103</v>
      </c>
      <c r="AU82" t="s">
        <v>527</v>
      </c>
      <c r="AV82" t="s">
        <v>357</v>
      </c>
      <c r="AW82" t="s">
        <v>336</v>
      </c>
      <c r="AX82" t="s">
        <v>90</v>
      </c>
      <c r="AY82" s="51">
        <f>(615/$M82)</f>
        <v>610.72492552135066</v>
      </c>
      <c r="AZ82" s="51" t="s">
        <v>90</v>
      </c>
      <c r="BA82">
        <f>AY82+AY82*((100-Q82)/100)</f>
        <v>855.0148957298909</v>
      </c>
      <c r="BB82">
        <f>(420/$M82)</f>
        <v>417.0804369414102</v>
      </c>
      <c r="BC82">
        <f>BB82+(BB82*Q82)/(100-Q82)</f>
        <v>1042.7010923535254</v>
      </c>
      <c r="BD82" t="s">
        <v>90</v>
      </c>
      <c r="BE82" t="s">
        <v>90</v>
      </c>
      <c r="BF82">
        <f t="shared" ref="BF82:BF88" si="5">AY82/BA82+BB82/BC82</f>
        <v>1.1142857142857143</v>
      </c>
      <c r="BG82">
        <v>1800</v>
      </c>
      <c r="BH82" s="25" t="s">
        <v>90</v>
      </c>
      <c r="BI82" t="s">
        <v>426</v>
      </c>
      <c r="BJ82" t="s">
        <v>438</v>
      </c>
      <c r="BK82" t="s">
        <v>383</v>
      </c>
      <c r="BL82" s="24">
        <v>13</v>
      </c>
      <c r="BM82" t="s">
        <v>397</v>
      </c>
      <c r="BN82" t="s">
        <v>110</v>
      </c>
      <c r="BO82">
        <v>1</v>
      </c>
      <c r="BP82" s="24" t="s">
        <v>339</v>
      </c>
      <c r="BQ82" t="s">
        <v>340</v>
      </c>
      <c r="BR82">
        <v>5.5</v>
      </c>
      <c r="BS82" s="24">
        <v>0.22500000000000001</v>
      </c>
      <c r="BT82" s="26">
        <v>77.448424200000005</v>
      </c>
      <c r="BU82" s="26">
        <v>22.552489999999999</v>
      </c>
      <c r="BV82" s="26">
        <v>0</v>
      </c>
      <c r="BW82" s="26" t="s">
        <v>71</v>
      </c>
      <c r="BX82" s="26">
        <v>63</v>
      </c>
      <c r="BY82" s="26">
        <v>58.267999999999994</v>
      </c>
      <c r="BZ82" s="26">
        <v>86.731999999999999</v>
      </c>
      <c r="CA82" s="26">
        <v>145</v>
      </c>
      <c r="CB82">
        <f>IF(AZ82&lt;&gt;"NA",(10000/AZ82)*(125/365),(10000/BA82)*(125/365))</f>
        <v>4.0053776271617894</v>
      </c>
      <c r="CC82">
        <f>IF(BA82&lt;&gt;"NA",(10000/BA82)*(125/365),(10000/AZ82)*(125/365))</f>
        <v>4.0053776271617894</v>
      </c>
      <c r="CD82">
        <f>AE82/AVERAGE(AZ82,BA82)</f>
        <v>9.00116144018583E-2</v>
      </c>
      <c r="CE82">
        <f>1.911*IF(AX82&lt;&gt;"NA", AVERAGE(AX82,AY82), AVERAGE(AZ82,BA82))</f>
        <v>1633.9334657398215</v>
      </c>
      <c r="CF82">
        <v>200</v>
      </c>
      <c r="CG82" s="27">
        <f>(CF82/N82)/IF(AX82&lt;&gt;"NA", AX82,AY82)</f>
        <v>0.32520325203252032</v>
      </c>
      <c r="CH82">
        <f>CF82/N82</f>
        <v>198.60973187686199</v>
      </c>
    </row>
    <row r="83" spans="1:86" ht="15.6" x14ac:dyDescent="0.3">
      <c r="A83">
        <v>82</v>
      </c>
      <c r="B83" s="35" t="s">
        <v>528</v>
      </c>
      <c r="C83" t="s">
        <v>87</v>
      </c>
      <c r="D83" s="22">
        <v>-2.295331</v>
      </c>
      <c r="E83" s="22">
        <v>28.949553999999999</v>
      </c>
      <c r="F83">
        <v>1488</v>
      </c>
      <c r="G83" s="36" t="s">
        <v>319</v>
      </c>
      <c r="H83" s="38" t="s">
        <v>320</v>
      </c>
      <c r="I83">
        <v>61</v>
      </c>
      <c r="J83" t="s">
        <v>115</v>
      </c>
      <c r="K83" t="s">
        <v>529</v>
      </c>
      <c r="L83" t="s">
        <v>530</v>
      </c>
      <c r="M83">
        <f>91*52/10000</f>
        <v>0.47320000000000001</v>
      </c>
      <c r="N83">
        <f t="shared" si="3"/>
        <v>0.47320000000000001</v>
      </c>
      <c r="O83" t="s">
        <v>531</v>
      </c>
      <c r="P83" t="s">
        <v>344</v>
      </c>
      <c r="Q83">
        <v>30</v>
      </c>
      <c r="R83" t="s">
        <v>103</v>
      </c>
      <c r="S83" s="19">
        <v>44972</v>
      </c>
      <c r="T83" t="s">
        <v>532</v>
      </c>
      <c r="U83" t="s">
        <v>92</v>
      </c>
      <c r="V83" t="s">
        <v>324</v>
      </c>
      <c r="W83">
        <v>20</v>
      </c>
      <c r="X83" t="s">
        <v>100</v>
      </c>
      <c r="Y83" t="s">
        <v>101</v>
      </c>
      <c r="Z83">
        <v>1</v>
      </c>
      <c r="AA83" t="s">
        <v>329</v>
      </c>
      <c r="AB83" t="s">
        <v>409</v>
      </c>
      <c r="AC83" t="s">
        <v>103</v>
      </c>
      <c r="AD83">
        <v>10</v>
      </c>
      <c r="AE83" s="24">
        <f t="shared" si="4"/>
        <v>70.442378134685825</v>
      </c>
      <c r="AF83" t="s">
        <v>96</v>
      </c>
      <c r="AG83" t="s">
        <v>101</v>
      </c>
      <c r="AH83" s="25" t="s">
        <v>90</v>
      </c>
      <c r="AI83" s="25" t="s">
        <v>90</v>
      </c>
      <c r="AJ83" t="s">
        <v>103</v>
      </c>
      <c r="AK83" t="s">
        <v>103</v>
      </c>
      <c r="AL83" t="s">
        <v>103</v>
      </c>
      <c r="AM83" s="25" t="s">
        <v>90</v>
      </c>
      <c r="AN83" s="25" t="s">
        <v>90</v>
      </c>
      <c r="AO83" s="25" t="s">
        <v>90</v>
      </c>
      <c r="AP83" t="s">
        <v>376</v>
      </c>
      <c r="AQ83" t="s">
        <v>481</v>
      </c>
      <c r="AR83">
        <v>0</v>
      </c>
      <c r="AS83" t="s">
        <v>96</v>
      </c>
      <c r="AT83" t="s">
        <v>103</v>
      </c>
      <c r="AU83" t="s">
        <v>416</v>
      </c>
      <c r="AV83" t="s">
        <v>357</v>
      </c>
      <c r="AW83" t="s">
        <v>336</v>
      </c>
      <c r="AX83" t="s">
        <v>90</v>
      </c>
      <c r="AY83" s="51">
        <f>(200/$M83)</f>
        <v>422.65426880811498</v>
      </c>
      <c r="AZ83" s="51" t="s">
        <v>90</v>
      </c>
      <c r="BA83">
        <f>AY83+AY83*((100-Q83)/100)</f>
        <v>718.5122569737955</v>
      </c>
      <c r="BB83">
        <f>(1000/$M83)</f>
        <v>2113.2713440405746</v>
      </c>
      <c r="BC83">
        <f>BB83+(BB83*Q83)/(100-Q83)</f>
        <v>3018.9590629151066</v>
      </c>
      <c r="BD83" t="s">
        <v>90</v>
      </c>
      <c r="BE83" t="s">
        <v>90</v>
      </c>
      <c r="BF83">
        <f t="shared" si="5"/>
        <v>1.2882352941176469</v>
      </c>
      <c r="BG83">
        <v>2000</v>
      </c>
      <c r="BH83" s="25" t="s">
        <v>90</v>
      </c>
      <c r="BI83" s="25" t="s">
        <v>90</v>
      </c>
      <c r="BJ83" t="s">
        <v>438</v>
      </c>
      <c r="BK83" t="s">
        <v>383</v>
      </c>
      <c r="BL83" s="24">
        <v>13</v>
      </c>
      <c r="BM83" t="s">
        <v>397</v>
      </c>
      <c r="BN83" t="s">
        <v>110</v>
      </c>
      <c r="BO83">
        <v>0</v>
      </c>
      <c r="BP83" s="24" t="s">
        <v>132</v>
      </c>
      <c r="BQ83" t="s">
        <v>371</v>
      </c>
      <c r="BR83">
        <v>5.61</v>
      </c>
      <c r="BS83" s="24">
        <v>0.24030000000000001</v>
      </c>
      <c r="BT83" s="26">
        <v>77.004288400000007</v>
      </c>
      <c r="BU83" s="26">
        <v>22.995714700000001</v>
      </c>
      <c r="BV83" s="26">
        <v>0</v>
      </c>
      <c r="BW83" s="26" t="s">
        <v>71</v>
      </c>
      <c r="BX83" s="26">
        <v>63</v>
      </c>
      <c r="BY83" s="26">
        <v>67.536000000000001</v>
      </c>
      <c r="BZ83" s="26">
        <v>77.463999999999999</v>
      </c>
      <c r="CA83" s="26">
        <v>145</v>
      </c>
      <c r="CB83">
        <f>IF(AZ83&lt;&gt;"NA",(10000/AZ83)*(125/365),(10000/BA83)*(125/365))</f>
        <v>4.766317485898468</v>
      </c>
      <c r="CC83">
        <f>IF(BA83&lt;&gt;"NA",(10000/BA83)*(125/365),(10000/AZ83)*(125/365))</f>
        <v>4.766317485898468</v>
      </c>
      <c r="CD83">
        <f>AE83/AVERAGE(AZ83,BA83)</f>
        <v>9.8039215686274495E-2</v>
      </c>
      <c r="CE83">
        <f>1.911*IF(AX83&lt;&gt;"NA", AVERAGE(AX83,AY83), AVERAGE(AZ83,BA83))</f>
        <v>1373.0769230769233</v>
      </c>
      <c r="CF83">
        <v>60</v>
      </c>
      <c r="CG83" s="27">
        <f>(CF83/N83)/IF(AX83&lt;&gt;"NA", AX83,AY83)</f>
        <v>0.3</v>
      </c>
      <c r="CH83">
        <f>CF83/N83</f>
        <v>126.79628064243448</v>
      </c>
    </row>
    <row r="84" spans="1:86" ht="15.6" x14ac:dyDescent="0.3">
      <c r="A84">
        <v>83</v>
      </c>
      <c r="B84" s="35" t="s">
        <v>533</v>
      </c>
      <c r="C84" t="s">
        <v>87</v>
      </c>
      <c r="D84" s="22">
        <v>-2.2866909999999998</v>
      </c>
      <c r="E84" s="22">
        <v>28.963277000000001</v>
      </c>
      <c r="F84">
        <v>1534</v>
      </c>
      <c r="G84" s="36" t="s">
        <v>319</v>
      </c>
      <c r="H84" s="38" t="s">
        <v>320</v>
      </c>
      <c r="I84">
        <v>50</v>
      </c>
      <c r="J84" t="s">
        <v>91</v>
      </c>
      <c r="K84" t="s">
        <v>534</v>
      </c>
      <c r="L84" t="s">
        <v>534</v>
      </c>
      <c r="M84">
        <f>29*19/10000</f>
        <v>5.5100000000000003E-2</v>
      </c>
      <c r="N84">
        <f t="shared" si="3"/>
        <v>5.5100000000000003E-2</v>
      </c>
      <c r="O84" t="s">
        <v>535</v>
      </c>
      <c r="P84" t="s">
        <v>93</v>
      </c>
      <c r="Q84">
        <v>50</v>
      </c>
      <c r="R84" s="19">
        <v>44809</v>
      </c>
      <c r="S84" s="19">
        <v>44969</v>
      </c>
      <c r="T84" t="s">
        <v>534</v>
      </c>
      <c r="U84" t="s">
        <v>536</v>
      </c>
      <c r="V84" t="s">
        <v>324</v>
      </c>
      <c r="W84">
        <v>20</v>
      </c>
      <c r="X84" t="s">
        <v>100</v>
      </c>
      <c r="Y84" t="s">
        <v>101</v>
      </c>
      <c r="Z84">
        <v>2</v>
      </c>
      <c r="AA84" t="s">
        <v>329</v>
      </c>
      <c r="AB84" t="s">
        <v>409</v>
      </c>
      <c r="AC84" t="s">
        <v>103</v>
      </c>
      <c r="AD84">
        <v>4.5</v>
      </c>
      <c r="AE84" s="24">
        <f t="shared" si="4"/>
        <v>163.33938294010886</v>
      </c>
      <c r="AF84" t="s">
        <v>96</v>
      </c>
      <c r="AG84" t="s">
        <v>101</v>
      </c>
      <c r="AH84" s="25" t="s">
        <v>90</v>
      </c>
      <c r="AI84" s="25" t="s">
        <v>90</v>
      </c>
      <c r="AJ84" t="s">
        <v>103</v>
      </c>
      <c r="AK84" t="s">
        <v>103</v>
      </c>
      <c r="AL84" s="25" t="s">
        <v>90</v>
      </c>
      <c r="AM84" s="25" t="s">
        <v>90</v>
      </c>
      <c r="AN84" s="25" t="s">
        <v>90</v>
      </c>
      <c r="AO84" s="25" t="s">
        <v>90</v>
      </c>
      <c r="AP84" t="s">
        <v>332</v>
      </c>
      <c r="AQ84" s="25" t="s">
        <v>90</v>
      </c>
      <c r="AR84">
        <v>30</v>
      </c>
      <c r="AS84" t="s">
        <v>324</v>
      </c>
      <c r="AT84" t="s">
        <v>537</v>
      </c>
      <c r="AU84" t="s">
        <v>324</v>
      </c>
      <c r="AV84" t="s">
        <v>357</v>
      </c>
      <c r="AW84" t="s">
        <v>336</v>
      </c>
      <c r="AX84">
        <f>(45/$M84)</f>
        <v>816.69691470054443</v>
      </c>
      <c r="AY84" s="51">
        <f>(22/$M84)</f>
        <v>399.27404718693282</v>
      </c>
      <c r="AZ84" s="51">
        <f>AX84+AX84*((100-Q84)/100)</f>
        <v>1225.0453720508167</v>
      </c>
      <c r="BA84">
        <f>AY84+AY84*((100-Q84)/100)</f>
        <v>598.9110707803992</v>
      </c>
      <c r="BB84">
        <f>(50/$M84)</f>
        <v>907.44101633393825</v>
      </c>
      <c r="BC84">
        <f>BB84+(BB84*Q84)/(100-Q84)</f>
        <v>1814.8820326678765</v>
      </c>
      <c r="BD84" t="s">
        <v>90</v>
      </c>
      <c r="BE84" t="s">
        <v>90</v>
      </c>
      <c r="BF84">
        <f t="shared" si="5"/>
        <v>1.1666666666666667</v>
      </c>
      <c r="BG84">
        <v>2000</v>
      </c>
      <c r="BH84" s="25" t="s">
        <v>90</v>
      </c>
      <c r="BI84" s="25" t="s">
        <v>90</v>
      </c>
      <c r="BJ84" t="s">
        <v>103</v>
      </c>
      <c r="BK84" t="s">
        <v>383</v>
      </c>
      <c r="BL84" s="24">
        <v>13</v>
      </c>
      <c r="BM84" t="s">
        <v>397</v>
      </c>
      <c r="BN84" t="s">
        <v>110</v>
      </c>
      <c r="BO84">
        <v>1</v>
      </c>
      <c r="BP84" s="24" t="s">
        <v>339</v>
      </c>
      <c r="BQ84" t="s">
        <v>340</v>
      </c>
      <c r="BR84">
        <v>5.41</v>
      </c>
      <c r="BS84" s="24">
        <v>0.22209999999999999</v>
      </c>
      <c r="BT84" s="26">
        <v>22.57915186</v>
      </c>
      <c r="BU84" s="26">
        <v>52.963509999999999</v>
      </c>
      <c r="BV84" s="26">
        <v>24.457330509999998</v>
      </c>
      <c r="BW84" s="26" t="s">
        <v>163</v>
      </c>
      <c r="BX84" s="26">
        <v>88</v>
      </c>
      <c r="BY84" s="26">
        <v>50.903999999999996</v>
      </c>
      <c r="BZ84" s="26">
        <v>94.096000000000004</v>
      </c>
      <c r="CA84" s="26">
        <v>145</v>
      </c>
      <c r="CB84">
        <f>IF(AZ84&lt;&gt;"NA",(10000/AZ84)*(125/365),(10000/BA84)*(125/365))</f>
        <v>2.7955352612886859</v>
      </c>
      <c r="CC84">
        <f>IF(BA84&lt;&gt;"NA",(10000/BA84)*(125/365),(10000/AZ84)*(125/365))</f>
        <v>5.7181403071814039</v>
      </c>
      <c r="CD84">
        <f>AE84/AVERAGE(AZ84,BA84)</f>
        <v>0.17910447761194026</v>
      </c>
      <c r="CE84">
        <f>1.911*IF(AX84&lt;&gt;"NA", AVERAGE(AX84,AY84), AVERAGE(AZ84,BA84))</f>
        <v>1161.8602540834845</v>
      </c>
      <c r="CF84">
        <v>0</v>
      </c>
      <c r="CG84" s="27">
        <f>(CF84/N84)/IF(AX84&lt;&gt;"NA", AX84,AY84)</f>
        <v>0</v>
      </c>
      <c r="CH84">
        <f>CF84/N84</f>
        <v>0</v>
      </c>
    </row>
    <row r="85" spans="1:86" ht="15.6" x14ac:dyDescent="0.3">
      <c r="A85">
        <v>84</v>
      </c>
      <c r="B85" s="35" t="s">
        <v>538</v>
      </c>
      <c r="C85" t="s">
        <v>87</v>
      </c>
      <c r="D85" s="22">
        <v>-2.2889499999999998</v>
      </c>
      <c r="E85" s="22">
        <v>28.963511</v>
      </c>
      <c r="F85">
        <v>1507</v>
      </c>
      <c r="G85" s="36" t="s">
        <v>319</v>
      </c>
      <c r="H85" s="38" t="s">
        <v>320</v>
      </c>
      <c r="I85">
        <v>45</v>
      </c>
      <c r="J85" t="s">
        <v>115</v>
      </c>
      <c r="K85" t="s">
        <v>414</v>
      </c>
      <c r="L85" t="s">
        <v>234</v>
      </c>
      <c r="M85">
        <f>30*27/10000</f>
        <v>8.1000000000000003E-2</v>
      </c>
      <c r="N85">
        <f t="shared" si="3"/>
        <v>8.1000000000000003E-2</v>
      </c>
      <c r="O85" t="s">
        <v>234</v>
      </c>
      <c r="P85" t="s">
        <v>322</v>
      </c>
      <c r="Q85">
        <v>60</v>
      </c>
      <c r="R85" s="19">
        <v>44809</v>
      </c>
      <c r="S85" s="19">
        <v>44969</v>
      </c>
      <c r="T85" t="s">
        <v>534</v>
      </c>
      <c r="U85" s="25" t="s">
        <v>90</v>
      </c>
      <c r="V85" t="s">
        <v>324</v>
      </c>
      <c r="W85">
        <v>20</v>
      </c>
      <c r="X85" t="s">
        <v>100</v>
      </c>
      <c r="Y85" t="s">
        <v>101</v>
      </c>
      <c r="Z85">
        <v>1</v>
      </c>
      <c r="AA85" t="s">
        <v>329</v>
      </c>
      <c r="AB85" t="s">
        <v>409</v>
      </c>
      <c r="AC85" t="s">
        <v>103</v>
      </c>
      <c r="AD85">
        <v>3</v>
      </c>
      <c r="AE85" s="24">
        <f t="shared" si="4"/>
        <v>61.728395061728392</v>
      </c>
      <c r="AF85" t="s">
        <v>96</v>
      </c>
      <c r="AG85" t="s">
        <v>101</v>
      </c>
      <c r="AH85" t="s">
        <v>523</v>
      </c>
      <c r="AI85" s="25" t="s">
        <v>90</v>
      </c>
      <c r="AJ85" s="25" t="s">
        <v>90</v>
      </c>
      <c r="AK85" s="25" t="s">
        <v>90</v>
      </c>
      <c r="AL85" s="25" t="s">
        <v>90</v>
      </c>
      <c r="AM85" s="25" t="s">
        <v>90</v>
      </c>
      <c r="AN85" s="25" t="s">
        <v>90</v>
      </c>
      <c r="AO85" s="25" t="s">
        <v>90</v>
      </c>
      <c r="AP85" s="25" t="s">
        <v>90</v>
      </c>
      <c r="AQ85" s="25" t="s">
        <v>90</v>
      </c>
      <c r="AR85" s="25" t="s">
        <v>90</v>
      </c>
      <c r="AS85" s="25" t="s">
        <v>90</v>
      </c>
      <c r="AT85" s="25" t="s">
        <v>90</v>
      </c>
      <c r="AU85" s="25" t="s">
        <v>90</v>
      </c>
      <c r="AV85" t="s">
        <v>357</v>
      </c>
      <c r="AW85" t="s">
        <v>539</v>
      </c>
      <c r="AX85" s="25" t="s">
        <v>90</v>
      </c>
      <c r="AY85" s="51">
        <f>(40/$M85)</f>
        <v>493.82716049382714</v>
      </c>
      <c r="AZ85" s="51" t="s">
        <v>90</v>
      </c>
      <c r="BA85">
        <f>AY85+AY85*((100-Q85)/100)</f>
        <v>691.35802469135797</v>
      </c>
      <c r="BB85">
        <f>(80/$M85)</f>
        <v>987.65432098765427</v>
      </c>
      <c r="BC85">
        <f>BB85+(BB85*Q85)/(100-Q85)</f>
        <v>2469.1358024691353</v>
      </c>
      <c r="BD85" t="s">
        <v>90</v>
      </c>
      <c r="BE85" t="s">
        <v>90</v>
      </c>
      <c r="BF85">
        <f t="shared" si="5"/>
        <v>1.1142857142857143</v>
      </c>
      <c r="BG85">
        <v>2100</v>
      </c>
      <c r="BH85" s="25" t="s">
        <v>90</v>
      </c>
      <c r="BI85" s="25" t="s">
        <v>90</v>
      </c>
      <c r="BJ85" t="s">
        <v>382</v>
      </c>
      <c r="BK85" t="s">
        <v>383</v>
      </c>
      <c r="BL85" s="24">
        <v>13</v>
      </c>
      <c r="BM85" t="s">
        <v>397</v>
      </c>
      <c r="BN85" t="s">
        <v>110</v>
      </c>
      <c r="BO85">
        <v>1</v>
      </c>
      <c r="BP85" s="24" t="s">
        <v>339</v>
      </c>
      <c r="BQ85" t="s">
        <v>340</v>
      </c>
      <c r="BR85">
        <v>5.55</v>
      </c>
      <c r="BS85" s="24">
        <v>0.1424</v>
      </c>
      <c r="BT85" s="26">
        <v>80.807138499999994</v>
      </c>
      <c r="BU85" s="26">
        <v>19.1928853</v>
      </c>
      <c r="BV85" s="26">
        <v>0</v>
      </c>
      <c r="BW85" s="26" t="s">
        <v>71</v>
      </c>
      <c r="BX85" s="26">
        <v>63</v>
      </c>
      <c r="BY85" s="26">
        <v>43.007999999999996</v>
      </c>
      <c r="BZ85" s="26">
        <v>101.992</v>
      </c>
      <c r="CA85" s="26">
        <v>145</v>
      </c>
      <c r="CB85">
        <f>IF(AZ85&lt;&gt;"NA",(10000/AZ85)*(125/365),(10000/BA85)*(125/365))</f>
        <v>4.9535225048923683</v>
      </c>
      <c r="CC85">
        <f>IF(BA85&lt;&gt;"NA",(10000/BA85)*(125/365),(10000/AZ85)*(125/365))</f>
        <v>4.9535225048923683</v>
      </c>
      <c r="CD85">
        <f>AE85/AVERAGE(AZ85,BA85)</f>
        <v>8.9285714285714288E-2</v>
      </c>
      <c r="CE85">
        <f>1.911*IF(AX85&lt;&gt;"NA", AVERAGE(AX85,AY85), AVERAGE(AZ85,BA85))</f>
        <v>1321.185185185185</v>
      </c>
      <c r="CF85">
        <v>0</v>
      </c>
      <c r="CG85" s="27">
        <f>(CF85/N85)/IF(AX85&lt;&gt;"NA", AX85,AY85)</f>
        <v>0</v>
      </c>
      <c r="CH85">
        <f>CF85/N85</f>
        <v>0</v>
      </c>
    </row>
    <row r="86" spans="1:86" ht="15.6" x14ac:dyDescent="0.3">
      <c r="A86">
        <v>85</v>
      </c>
      <c r="B86" s="35" t="s">
        <v>540</v>
      </c>
      <c r="C86" t="s">
        <v>87</v>
      </c>
      <c r="D86" s="22">
        <v>-2.3221980000000002</v>
      </c>
      <c r="E86" s="22">
        <v>28.915617000000001</v>
      </c>
      <c r="F86" s="25">
        <v>1523</v>
      </c>
      <c r="G86" s="36" t="s">
        <v>319</v>
      </c>
      <c r="H86" s="38" t="s">
        <v>320</v>
      </c>
      <c r="I86">
        <v>74</v>
      </c>
      <c r="J86" t="s">
        <v>115</v>
      </c>
      <c r="K86" t="s">
        <v>363</v>
      </c>
      <c r="L86" t="s">
        <v>541</v>
      </c>
      <c r="M86">
        <f>75*97/10000</f>
        <v>0.72750000000000004</v>
      </c>
      <c r="N86">
        <f t="shared" si="3"/>
        <v>0.72750000000000004</v>
      </c>
      <c r="O86" t="s">
        <v>399</v>
      </c>
      <c r="P86" t="s">
        <v>93</v>
      </c>
      <c r="Q86">
        <v>50</v>
      </c>
      <c r="R86" s="19">
        <v>44844</v>
      </c>
      <c r="S86" s="19">
        <v>44617</v>
      </c>
      <c r="T86" t="s">
        <v>542</v>
      </c>
      <c r="U86" t="s">
        <v>264</v>
      </c>
      <c r="V86" t="s">
        <v>324</v>
      </c>
      <c r="W86">
        <v>20</v>
      </c>
      <c r="X86" t="s">
        <v>100</v>
      </c>
      <c r="Y86" t="s">
        <v>101</v>
      </c>
      <c r="Z86">
        <v>1</v>
      </c>
      <c r="AA86" t="s">
        <v>329</v>
      </c>
      <c r="AB86" t="s">
        <v>543</v>
      </c>
      <c r="AC86" s="25" t="s">
        <v>90</v>
      </c>
      <c r="AD86">
        <v>7.5</v>
      </c>
      <c r="AE86" s="24">
        <f t="shared" si="4"/>
        <v>20.618556701030926</v>
      </c>
      <c r="AF86" t="s">
        <v>96</v>
      </c>
      <c r="AG86" t="s">
        <v>101</v>
      </c>
      <c r="AH86" s="25" t="s">
        <v>90</v>
      </c>
      <c r="AI86" s="25" t="s">
        <v>90</v>
      </c>
      <c r="AJ86" t="s">
        <v>544</v>
      </c>
      <c r="AK86" s="25" t="s">
        <v>90</v>
      </c>
      <c r="AL86" s="25" t="s">
        <v>90</v>
      </c>
      <c r="AM86" s="25" t="s">
        <v>90</v>
      </c>
      <c r="AN86" s="25" t="s">
        <v>90</v>
      </c>
      <c r="AO86" s="25" t="s">
        <v>90</v>
      </c>
      <c r="AP86" t="s">
        <v>392</v>
      </c>
      <c r="AQ86" t="s">
        <v>392</v>
      </c>
      <c r="AR86">
        <v>0</v>
      </c>
      <c r="AS86" t="s">
        <v>96</v>
      </c>
      <c r="AT86" t="s">
        <v>545</v>
      </c>
      <c r="AU86" t="s">
        <v>447</v>
      </c>
      <c r="AV86" s="25" t="s">
        <v>90</v>
      </c>
      <c r="AW86" s="25" t="s">
        <v>90</v>
      </c>
      <c r="AX86">
        <f>(67.5/$M86)</f>
        <v>92.783505154639172</v>
      </c>
      <c r="AY86" s="51">
        <f>(135/$M86)</f>
        <v>185.56701030927834</v>
      </c>
      <c r="AZ86" s="51">
        <f>AX86+AX86*((100-Q86)/100)</f>
        <v>139.17525773195877</v>
      </c>
      <c r="BA86">
        <f>AY86+AY86*((100-Q86)/100)</f>
        <v>278.35051546391753</v>
      </c>
      <c r="BB86">
        <f>(500/$M86)</f>
        <v>687.28522336769754</v>
      </c>
      <c r="BC86">
        <f>BB86+(BB86*Q86)/(100-Q86)</f>
        <v>1374.5704467353949</v>
      </c>
      <c r="BD86" t="s">
        <v>90</v>
      </c>
      <c r="BE86" t="s">
        <v>90</v>
      </c>
      <c r="BF86">
        <f t="shared" si="5"/>
        <v>1.1666666666666667</v>
      </c>
      <c r="BG86">
        <v>2300</v>
      </c>
      <c r="BH86" s="25" t="s">
        <v>90</v>
      </c>
      <c r="BI86" t="s">
        <v>546</v>
      </c>
      <c r="BJ86" t="s">
        <v>382</v>
      </c>
      <c r="BK86" t="s">
        <v>383</v>
      </c>
      <c r="BL86" s="24">
        <v>13</v>
      </c>
      <c r="BM86" t="s">
        <v>397</v>
      </c>
      <c r="BN86" t="s">
        <v>110</v>
      </c>
      <c r="BO86">
        <v>1</v>
      </c>
      <c r="BP86" s="24" t="s">
        <v>339</v>
      </c>
      <c r="BQ86" t="s">
        <v>340</v>
      </c>
      <c r="BR86">
        <v>5.1100000000000003</v>
      </c>
      <c r="BS86" s="24">
        <v>0.13539999999999999</v>
      </c>
      <c r="BT86" s="26">
        <v>20.48659318</v>
      </c>
      <c r="BU86" s="26">
        <v>58.703270000000003</v>
      </c>
      <c r="BV86" s="26">
        <v>20.810150211</v>
      </c>
      <c r="BW86" s="26" t="s">
        <v>163</v>
      </c>
      <c r="BX86" s="26">
        <v>88</v>
      </c>
      <c r="BY86" s="26">
        <v>12.767999999999999</v>
      </c>
      <c r="BZ86" s="26">
        <v>132.232</v>
      </c>
      <c r="CA86" s="26">
        <v>145</v>
      </c>
      <c r="CB86">
        <f>IF(AZ86&lt;&gt;"NA",(10000/AZ86)*(125/365),(10000/BA86)*(125/365))</f>
        <v>24.606798579401318</v>
      </c>
      <c r="CC86">
        <f>IF(BA86&lt;&gt;"NA",(10000/BA86)*(125/365),(10000/AZ86)*(125/365))</f>
        <v>12.303399289700659</v>
      </c>
      <c r="CD86">
        <f>AE86/AVERAGE(AZ86,BA86)</f>
        <v>9.8765432098765413E-2</v>
      </c>
      <c r="CE86">
        <f>1.911*IF(AX86&lt;&gt;"NA", AVERAGE(AX86,AY86), AVERAGE(AZ86,BA86))</f>
        <v>265.96391752577318</v>
      </c>
      <c r="CF86">
        <v>0</v>
      </c>
      <c r="CG86" s="27">
        <f>(CF86/N86)/IF(AX86&lt;&gt;"NA", AX86,AY86)</f>
        <v>0</v>
      </c>
      <c r="CH86">
        <f>CF86/N86</f>
        <v>0</v>
      </c>
    </row>
    <row r="87" spans="1:86" ht="15.6" x14ac:dyDescent="0.3">
      <c r="A87">
        <v>86</v>
      </c>
      <c r="B87" s="35" t="s">
        <v>547</v>
      </c>
      <c r="C87" t="s">
        <v>87</v>
      </c>
      <c r="D87" s="22">
        <v>-2.3205849999999999</v>
      </c>
      <c r="E87" s="22">
        <v>28.918171999999998</v>
      </c>
      <c r="F87" s="25">
        <v>1510</v>
      </c>
      <c r="G87" s="36" t="s">
        <v>319</v>
      </c>
      <c r="H87" s="38" t="s">
        <v>320</v>
      </c>
      <c r="I87">
        <v>63</v>
      </c>
      <c r="J87" t="s">
        <v>115</v>
      </c>
      <c r="K87" t="s">
        <v>414</v>
      </c>
      <c r="L87" t="s">
        <v>363</v>
      </c>
      <c r="M87">
        <f>36*32.1/10000</f>
        <v>0.11556000000000001</v>
      </c>
      <c r="N87">
        <f t="shared" si="3"/>
        <v>0.11556000000000001</v>
      </c>
      <c r="O87" t="s">
        <v>363</v>
      </c>
      <c r="P87" t="s">
        <v>344</v>
      </c>
      <c r="Q87">
        <v>60</v>
      </c>
      <c r="R87" s="19">
        <v>44824</v>
      </c>
      <c r="S87" s="19">
        <v>44941</v>
      </c>
      <c r="T87" t="s">
        <v>548</v>
      </c>
      <c r="U87" s="25" t="s">
        <v>90</v>
      </c>
      <c r="V87" t="s">
        <v>324</v>
      </c>
      <c r="W87">
        <v>20</v>
      </c>
      <c r="X87" t="s">
        <v>100</v>
      </c>
      <c r="Y87" t="s">
        <v>101</v>
      </c>
      <c r="Z87">
        <v>1</v>
      </c>
      <c r="AA87" t="s">
        <v>329</v>
      </c>
      <c r="AB87" t="s">
        <v>543</v>
      </c>
      <c r="AC87" s="25" t="s">
        <v>90</v>
      </c>
      <c r="AD87">
        <v>18</v>
      </c>
      <c r="AE87" s="24">
        <f t="shared" si="4"/>
        <v>259.60539979231567</v>
      </c>
      <c r="AF87" t="s">
        <v>324</v>
      </c>
      <c r="AG87" t="s">
        <v>101</v>
      </c>
      <c r="AH87" s="25" t="s">
        <v>90</v>
      </c>
      <c r="AI87" s="25" t="s">
        <v>90</v>
      </c>
      <c r="AJ87" t="s">
        <v>549</v>
      </c>
      <c r="AK87" t="s">
        <v>329</v>
      </c>
      <c r="AL87" t="s">
        <v>330</v>
      </c>
      <c r="AM87" t="s">
        <v>329</v>
      </c>
      <c r="AN87" t="s">
        <v>331</v>
      </c>
      <c r="AO87" s="25" t="s">
        <v>90</v>
      </c>
      <c r="AP87" t="s">
        <v>392</v>
      </c>
      <c r="AQ87" t="s">
        <v>392</v>
      </c>
      <c r="AR87">
        <v>0</v>
      </c>
      <c r="AS87" s="25" t="s">
        <v>90</v>
      </c>
      <c r="AT87" t="s">
        <v>355</v>
      </c>
      <c r="AU87" s="25" t="s">
        <v>90</v>
      </c>
      <c r="AV87" t="s">
        <v>550</v>
      </c>
      <c r="AW87" t="s">
        <v>551</v>
      </c>
      <c r="AX87" t="s">
        <v>90</v>
      </c>
      <c r="AY87" s="51">
        <f>(60/$M87)</f>
        <v>519.21079958463133</v>
      </c>
      <c r="AZ87" s="51" t="s">
        <v>90</v>
      </c>
      <c r="BA87">
        <f>AY87+AY87*((100-Q87)/100)</f>
        <v>726.89511941848389</v>
      </c>
      <c r="BB87">
        <f>(240/$M87)</f>
        <v>2076.8431983385253</v>
      </c>
      <c r="BC87">
        <f>BB87+(BB87*Q87)/(100-Q87)</f>
        <v>5192.1079958463133</v>
      </c>
      <c r="BD87" t="s">
        <v>90</v>
      </c>
      <c r="BE87" t="s">
        <v>90</v>
      </c>
      <c r="BF87">
        <f t="shared" si="5"/>
        <v>1.1142857142857143</v>
      </c>
      <c r="BG87">
        <v>1700</v>
      </c>
      <c r="BH87" s="25" t="s">
        <v>90</v>
      </c>
      <c r="BI87" s="25" t="s">
        <v>90</v>
      </c>
      <c r="BJ87" t="s">
        <v>382</v>
      </c>
      <c r="BK87" t="s">
        <v>383</v>
      </c>
      <c r="BL87" s="24">
        <v>13</v>
      </c>
      <c r="BM87" t="s">
        <v>397</v>
      </c>
      <c r="BN87" t="s">
        <v>110</v>
      </c>
      <c r="BO87">
        <v>1</v>
      </c>
      <c r="BP87" s="24" t="s">
        <v>339</v>
      </c>
      <c r="BQ87" t="s">
        <v>340</v>
      </c>
      <c r="BR87">
        <v>5.41</v>
      </c>
      <c r="BS87" s="24">
        <v>0.214</v>
      </c>
      <c r="BT87" s="26">
        <v>76.004288399999993</v>
      </c>
      <c r="BU87" s="26">
        <v>22.995714700000001</v>
      </c>
      <c r="BV87" s="26">
        <v>1.00054</v>
      </c>
      <c r="BW87" s="26" t="s">
        <v>71</v>
      </c>
      <c r="BX87" s="26">
        <v>63</v>
      </c>
      <c r="BY87" s="26">
        <v>23.544</v>
      </c>
      <c r="BZ87" s="26">
        <v>121.456</v>
      </c>
      <c r="CA87" s="26">
        <v>145</v>
      </c>
      <c r="CB87">
        <f>IF(AZ87&lt;&gt;"NA",(10000/AZ87)*(125/365),(10000/BA87)*(125/365))</f>
        <v>4.7113502935420746</v>
      </c>
      <c r="CC87">
        <f>IF(BA87&lt;&gt;"NA",(10000/BA87)*(125/365),(10000/AZ87)*(125/365))</f>
        <v>4.7113502935420746</v>
      </c>
      <c r="CD87">
        <f>AE87/AVERAGE(AZ87,BA87)</f>
        <v>0.35714285714285715</v>
      </c>
      <c r="CE87">
        <f>1.911*IF(AX87&lt;&gt;"NA", AVERAGE(AX87,AY87), AVERAGE(AZ87,BA87))</f>
        <v>1389.0965732087227</v>
      </c>
      <c r="CF87">
        <v>0</v>
      </c>
      <c r="CG87" s="27">
        <f>(CF87/N87)/IF(AX87&lt;&gt;"NA", AX87,AY87)</f>
        <v>0</v>
      </c>
      <c r="CH87">
        <f>CF87/N87</f>
        <v>0</v>
      </c>
    </row>
    <row r="88" spans="1:86" ht="15.6" x14ac:dyDescent="0.3">
      <c r="A88">
        <v>87</v>
      </c>
      <c r="B88" s="20" t="s">
        <v>552</v>
      </c>
      <c r="C88" t="s">
        <v>134</v>
      </c>
      <c r="D88" s="22">
        <v>-2.2679694399999999</v>
      </c>
      <c r="E88" s="22">
        <v>28.883755560000001</v>
      </c>
      <c r="F88">
        <v>1514</v>
      </c>
      <c r="G88" s="36" t="s">
        <v>319</v>
      </c>
      <c r="H88" s="38" t="s">
        <v>320</v>
      </c>
      <c r="I88">
        <v>41</v>
      </c>
      <c r="J88" t="s">
        <v>115</v>
      </c>
      <c r="K88" t="s">
        <v>553</v>
      </c>
      <c r="L88" t="s">
        <v>234</v>
      </c>
      <c r="M88">
        <f>30*25/10000</f>
        <v>7.4999999999999997E-2</v>
      </c>
      <c r="N88">
        <f t="shared" si="3"/>
        <v>7.4999999999999997E-2</v>
      </c>
      <c r="O88" t="s">
        <v>400</v>
      </c>
      <c r="P88" t="s">
        <v>554</v>
      </c>
      <c r="Q88">
        <v>60</v>
      </c>
      <c r="R88" s="19">
        <v>44819</v>
      </c>
      <c r="S88" s="19">
        <v>44972</v>
      </c>
      <c r="T88" t="s">
        <v>415</v>
      </c>
      <c r="U88" t="s">
        <v>415</v>
      </c>
      <c r="V88" t="s">
        <v>324</v>
      </c>
      <c r="W88">
        <v>20</v>
      </c>
      <c r="X88" t="s">
        <v>100</v>
      </c>
      <c r="Y88" t="s">
        <v>101</v>
      </c>
      <c r="Z88">
        <v>2</v>
      </c>
      <c r="AA88" t="s">
        <v>329</v>
      </c>
      <c r="AB88" t="s">
        <v>409</v>
      </c>
      <c r="AC88" t="s">
        <v>103</v>
      </c>
      <c r="AD88">
        <v>1.5</v>
      </c>
      <c r="AE88" s="24">
        <f t="shared" si="4"/>
        <v>33.333333333333336</v>
      </c>
      <c r="AF88" t="s">
        <v>96</v>
      </c>
      <c r="AG88" t="s">
        <v>101</v>
      </c>
      <c r="AH88" s="25" t="s">
        <v>90</v>
      </c>
      <c r="AI88" s="25" t="s">
        <v>90</v>
      </c>
      <c r="AJ88" t="s">
        <v>555</v>
      </c>
      <c r="AK88" t="s">
        <v>103</v>
      </c>
      <c r="AL88" t="s">
        <v>556</v>
      </c>
      <c r="AM88">
        <v>1</v>
      </c>
      <c r="AN88" t="s">
        <v>331</v>
      </c>
      <c r="AO88" s="25" t="s">
        <v>90</v>
      </c>
      <c r="AP88" t="s">
        <v>332</v>
      </c>
      <c r="AQ88" s="25" t="s">
        <v>90</v>
      </c>
      <c r="AR88">
        <v>15</v>
      </c>
      <c r="AS88" t="s">
        <v>324</v>
      </c>
      <c r="AT88" t="s">
        <v>557</v>
      </c>
      <c r="AU88" t="s">
        <v>447</v>
      </c>
      <c r="AV88" t="s">
        <v>335</v>
      </c>
      <c r="AW88" t="s">
        <v>336</v>
      </c>
      <c r="AX88" s="20">
        <f>(100/$M88)</f>
        <v>1333.3333333333335</v>
      </c>
      <c r="AY88" s="52">
        <f>(80/$M88)</f>
        <v>1066.6666666666667</v>
      </c>
      <c r="AZ88" s="51">
        <f>AX88+AX88*((100-Q88)/100)</f>
        <v>1866.666666666667</v>
      </c>
      <c r="BA88">
        <f>AY88+AY88*((100-Q88)/100)</f>
        <v>1493.3333333333335</v>
      </c>
      <c r="BB88">
        <f>(150/$M88)</f>
        <v>2000</v>
      </c>
      <c r="BC88">
        <f>BB88+(BB88*Q88)/(100-Q88)</f>
        <v>5000</v>
      </c>
      <c r="BD88" t="s">
        <v>90</v>
      </c>
      <c r="BE88" t="s">
        <v>90</v>
      </c>
      <c r="BF88">
        <f t="shared" si="5"/>
        <v>1.1142857142857143</v>
      </c>
      <c r="BG88">
        <v>1700</v>
      </c>
      <c r="BH88" s="25" t="s">
        <v>90</v>
      </c>
      <c r="BI88" s="25" t="s">
        <v>90</v>
      </c>
      <c r="BJ88" t="s">
        <v>382</v>
      </c>
      <c r="BK88" t="s">
        <v>383</v>
      </c>
      <c r="BL88" s="24">
        <v>13</v>
      </c>
      <c r="BM88" t="s">
        <v>397</v>
      </c>
      <c r="BN88" t="s">
        <v>110</v>
      </c>
      <c r="BO88">
        <v>0</v>
      </c>
      <c r="BP88" t="s">
        <v>132</v>
      </c>
      <c r="BQ88" t="s">
        <v>371</v>
      </c>
      <c r="BR88">
        <v>5.81854393301135</v>
      </c>
      <c r="BS88" s="24">
        <v>0.20503496897527701</v>
      </c>
      <c r="BT88" s="26"/>
      <c r="BU88" s="26"/>
      <c r="BV88" s="26"/>
      <c r="BW88" s="26"/>
      <c r="BX88" s="26">
        <v>63</v>
      </c>
      <c r="BY88" s="26">
        <v>65.168227219854202</v>
      </c>
      <c r="BZ88" s="26">
        <v>79.831772780145798</v>
      </c>
      <c r="CA88" s="26">
        <v>145</v>
      </c>
      <c r="CB88">
        <f>IF(AZ88&lt;&gt;"NA",(10000/AZ88)*(125/365),(10000/BA88)*(125/365))</f>
        <v>1.8346379647749504</v>
      </c>
      <c r="CC88">
        <f>IF(BA88&lt;&gt;"NA",(10000/BA88)*(125/365),(10000/AZ88)*(125/365))</f>
        <v>2.2932974559686885</v>
      </c>
      <c r="CD88">
        <f>AE88/AVERAGE(AZ88,BA88)</f>
        <v>1.984126984126984E-2</v>
      </c>
      <c r="CE88">
        <f>1.911*IF(AX88&lt;&gt;"NA", AVERAGE(AX88,AY88), AVERAGE(AZ88,BA88))</f>
        <v>2293.1999999999998</v>
      </c>
      <c r="CF88">
        <v>5</v>
      </c>
      <c r="CG88" s="27">
        <f>(CF88/N88)/IF(AX88&lt;&gt;"NA", AX88,AY88)</f>
        <v>4.9999999999999996E-2</v>
      </c>
      <c r="CH88">
        <f>CF88/N88</f>
        <v>66.666666666666671</v>
      </c>
    </row>
    <row r="89" spans="1:86" ht="15.6" x14ac:dyDescent="0.3">
      <c r="A89">
        <v>88</v>
      </c>
      <c r="B89" s="20" t="s">
        <v>558</v>
      </c>
      <c r="C89" t="s">
        <v>134</v>
      </c>
      <c r="D89" s="22">
        <v>-2.2796639999999999</v>
      </c>
      <c r="E89" s="22">
        <v>28.890644999999999</v>
      </c>
      <c r="F89">
        <v>1582</v>
      </c>
      <c r="G89" s="36" t="s">
        <v>319</v>
      </c>
      <c r="H89" s="38" t="s">
        <v>320</v>
      </c>
      <c r="I89">
        <v>40</v>
      </c>
      <c r="J89" t="s">
        <v>91</v>
      </c>
      <c r="K89" t="s">
        <v>553</v>
      </c>
      <c r="L89" t="s">
        <v>234</v>
      </c>
      <c r="M89">
        <f>25*15/10000</f>
        <v>3.7499999999999999E-2</v>
      </c>
      <c r="N89">
        <f t="shared" si="3"/>
        <v>3.7499999999999999E-2</v>
      </c>
      <c r="O89" t="s">
        <v>559</v>
      </c>
      <c r="P89" t="s">
        <v>344</v>
      </c>
      <c r="Q89">
        <v>70</v>
      </c>
      <c r="R89" s="19">
        <v>44819</v>
      </c>
      <c r="S89" s="19">
        <v>44964</v>
      </c>
      <c r="T89" t="s">
        <v>560</v>
      </c>
      <c r="U89" t="s">
        <v>165</v>
      </c>
      <c r="V89" t="s">
        <v>324</v>
      </c>
      <c r="W89">
        <v>20</v>
      </c>
      <c r="X89" t="s">
        <v>100</v>
      </c>
      <c r="Y89" t="s">
        <v>101</v>
      </c>
      <c r="Z89">
        <v>1</v>
      </c>
      <c r="AA89" t="s">
        <v>561</v>
      </c>
      <c r="AB89" t="s">
        <v>562</v>
      </c>
      <c r="AC89" t="s">
        <v>100</v>
      </c>
      <c r="AD89">
        <v>5</v>
      </c>
      <c r="AE89" s="24">
        <f t="shared" si="4"/>
        <v>190.47619047619048</v>
      </c>
      <c r="AF89" t="s">
        <v>96</v>
      </c>
      <c r="AG89" t="s">
        <v>101</v>
      </c>
      <c r="AH89" t="s">
        <v>563</v>
      </c>
      <c r="AI89" t="s">
        <v>564</v>
      </c>
      <c r="AJ89" t="s">
        <v>345</v>
      </c>
      <c r="AK89" t="s">
        <v>366</v>
      </c>
      <c r="AL89" t="s">
        <v>330</v>
      </c>
      <c r="AM89">
        <v>1</v>
      </c>
      <c r="AN89" t="s">
        <v>331</v>
      </c>
      <c r="AO89" s="25" t="s">
        <v>90</v>
      </c>
      <c r="AP89" t="s">
        <v>332</v>
      </c>
      <c r="AQ89" t="s">
        <v>565</v>
      </c>
      <c r="AR89">
        <v>40</v>
      </c>
      <c r="AS89" t="s">
        <v>324</v>
      </c>
      <c r="AT89" t="s">
        <v>565</v>
      </c>
      <c r="AU89" t="s">
        <v>100</v>
      </c>
      <c r="AV89" t="s">
        <v>335</v>
      </c>
      <c r="AW89" t="s">
        <v>336</v>
      </c>
      <c r="AX89" t="s">
        <v>90</v>
      </c>
      <c r="AY89" s="51">
        <f>(60/$M89)</f>
        <v>1600</v>
      </c>
      <c r="AZ89" s="51" t="s">
        <v>90</v>
      </c>
      <c r="BA89">
        <f>AY89+AY89*((100-Q89)/100)</f>
        <v>2080</v>
      </c>
      <c r="BB89">
        <f>(60/$M89)</f>
        <v>1600</v>
      </c>
      <c r="BC89">
        <f>BB89+(BB89*Q89)/(100-Q89)</f>
        <v>5333.3333333333339</v>
      </c>
      <c r="BD89">
        <f>(35/$M89)</f>
        <v>933.33333333333337</v>
      </c>
      <c r="BE89">
        <f>BD89+(BD89*Q89)/(100-Q89)</f>
        <v>3111.1111111111113</v>
      </c>
      <c r="BF89">
        <f>AY89/BA89+BB89/BC89+BD89/BE89</f>
        <v>1.3692307692307693</v>
      </c>
      <c r="BG89">
        <v>1700</v>
      </c>
      <c r="BH89" s="25" t="s">
        <v>90</v>
      </c>
      <c r="BI89">
        <v>830</v>
      </c>
      <c r="BJ89" t="s">
        <v>566</v>
      </c>
      <c r="BK89" t="s">
        <v>567</v>
      </c>
      <c r="BL89">
        <v>14</v>
      </c>
      <c r="BM89" t="s">
        <v>384</v>
      </c>
      <c r="BN89" t="s">
        <v>110</v>
      </c>
      <c r="BO89">
        <v>1</v>
      </c>
      <c r="BP89" t="s">
        <v>568</v>
      </c>
      <c r="BQ89" t="s">
        <v>569</v>
      </c>
      <c r="BR89">
        <v>5.32</v>
      </c>
      <c r="BS89" s="24">
        <v>0.1845</v>
      </c>
      <c r="BT89" s="26">
        <v>79.690885229999992</v>
      </c>
      <c r="BU89" s="26">
        <v>20.3091285</v>
      </c>
      <c r="BV89" s="26">
        <v>0</v>
      </c>
      <c r="BW89" s="26" t="s">
        <v>71</v>
      </c>
      <c r="BX89" s="26">
        <v>63</v>
      </c>
      <c r="BY89" s="26">
        <v>58.823999999999998</v>
      </c>
      <c r="BZ89" s="26">
        <v>86.176000000000002</v>
      </c>
      <c r="CA89" s="26">
        <v>145</v>
      </c>
      <c r="CB89">
        <f>IF(AZ89&lt;&gt;"NA",(10000/AZ89)*(125/365),(10000/BA89)*(125/365))</f>
        <v>1.6464699683877764</v>
      </c>
      <c r="CC89">
        <f>IF(BA89&lt;&gt;"NA",(10000/BA89)*(125/365),(10000/AZ89)*(125/365))</f>
        <v>1.6464699683877764</v>
      </c>
      <c r="CD89">
        <f>AE89/AVERAGE(AZ89,BA89)</f>
        <v>9.1575091575091583E-2</v>
      </c>
      <c r="CE89">
        <f>1.911*IF(AX89&lt;&gt;"NA", AVERAGE(AX89,AY89), AVERAGE(AZ89,BA89))</f>
        <v>3974.88</v>
      </c>
      <c r="CF89">
        <v>10</v>
      </c>
      <c r="CG89" s="27">
        <f>(CF89/N89)/IF(AX89&lt;&gt;"NA", AX89,AY89)</f>
        <v>0.16666666666666669</v>
      </c>
      <c r="CH89">
        <f>CF89/N89</f>
        <v>266.66666666666669</v>
      </c>
    </row>
    <row r="90" spans="1:86" ht="15.6" x14ac:dyDescent="0.3">
      <c r="A90">
        <v>89</v>
      </c>
      <c r="B90" s="20" t="s">
        <v>570</v>
      </c>
      <c r="C90" t="s">
        <v>87</v>
      </c>
      <c r="D90" s="22">
        <v>-2.2794949999999998</v>
      </c>
      <c r="E90" s="22">
        <v>28.889914999999998</v>
      </c>
      <c r="F90">
        <v>1583</v>
      </c>
      <c r="G90" s="36" t="s">
        <v>319</v>
      </c>
      <c r="H90" s="38" t="s">
        <v>320</v>
      </c>
      <c r="I90">
        <v>43</v>
      </c>
      <c r="J90" t="s">
        <v>115</v>
      </c>
      <c r="K90" t="s">
        <v>571</v>
      </c>
      <c r="L90" t="s">
        <v>572</v>
      </c>
      <c r="M90">
        <f>45*23/10000</f>
        <v>0.10349999999999999</v>
      </c>
      <c r="N90">
        <f t="shared" si="3"/>
        <v>0.10349999999999999</v>
      </c>
      <c r="O90" t="s">
        <v>573</v>
      </c>
      <c r="P90" t="s">
        <v>344</v>
      </c>
      <c r="Q90">
        <v>60</v>
      </c>
      <c r="R90" s="19">
        <v>44824</v>
      </c>
      <c r="S90" s="19">
        <v>44979</v>
      </c>
      <c r="T90" t="s">
        <v>574</v>
      </c>
      <c r="U90" t="s">
        <v>575</v>
      </c>
      <c r="V90" t="s">
        <v>324</v>
      </c>
      <c r="W90">
        <v>20</v>
      </c>
      <c r="X90" t="s">
        <v>100</v>
      </c>
      <c r="Y90" t="s">
        <v>101</v>
      </c>
      <c r="Z90">
        <v>2</v>
      </c>
      <c r="AA90" t="s">
        <v>366</v>
      </c>
      <c r="AB90" t="s">
        <v>326</v>
      </c>
      <c r="AC90" t="s">
        <v>100</v>
      </c>
      <c r="AD90">
        <v>9</v>
      </c>
      <c r="AE90" s="24">
        <f t="shared" si="4"/>
        <v>144.92753623188406</v>
      </c>
      <c r="AF90" t="s">
        <v>324</v>
      </c>
      <c r="AG90" t="s">
        <v>101</v>
      </c>
      <c r="AH90" t="s">
        <v>563</v>
      </c>
      <c r="AI90" s="25" t="s">
        <v>90</v>
      </c>
      <c r="AJ90" t="s">
        <v>576</v>
      </c>
      <c r="AK90" t="s">
        <v>366</v>
      </c>
      <c r="AL90" t="s">
        <v>330</v>
      </c>
      <c r="AM90" t="s">
        <v>329</v>
      </c>
      <c r="AN90" t="s">
        <v>331</v>
      </c>
      <c r="AO90" s="25" t="s">
        <v>90</v>
      </c>
      <c r="AP90" t="s">
        <v>332</v>
      </c>
      <c r="AQ90" t="s">
        <v>332</v>
      </c>
      <c r="AR90" t="s">
        <v>346</v>
      </c>
      <c r="AS90" t="s">
        <v>96</v>
      </c>
      <c r="AT90" t="s">
        <v>577</v>
      </c>
      <c r="AU90" t="s">
        <v>578</v>
      </c>
      <c r="AV90" t="s">
        <v>335</v>
      </c>
      <c r="AW90" t="s">
        <v>336</v>
      </c>
      <c r="AX90" t="s">
        <v>90</v>
      </c>
      <c r="AY90" s="51">
        <f>(80/$M90)</f>
        <v>772.94685990338166</v>
      </c>
      <c r="AZ90" s="51" t="s">
        <v>90</v>
      </c>
      <c r="BA90">
        <f>AY90+AY90*((100-Q90)/100)</f>
        <v>1082.1256038647343</v>
      </c>
      <c r="BB90">
        <f>(500/$M90)</f>
        <v>4830.9178743961356</v>
      </c>
      <c r="BC90">
        <f>BB90+(BB90*Q90)/(100-Q90)</f>
        <v>12077.294685990339</v>
      </c>
      <c r="BD90">
        <f>(54/$M90)</f>
        <v>521.73913043478262</v>
      </c>
      <c r="BE90">
        <f>BD90+(BD90*Q90)/(100-Q90)</f>
        <v>1304.3478260869565</v>
      </c>
      <c r="BF90">
        <f>AY90/BA90+BD90/BE90</f>
        <v>1.1142857142857143</v>
      </c>
      <c r="BG90">
        <v>1700</v>
      </c>
      <c r="BH90" s="25" t="s">
        <v>90</v>
      </c>
      <c r="BI90" t="s">
        <v>579</v>
      </c>
      <c r="BJ90" t="s">
        <v>580</v>
      </c>
      <c r="BK90" t="s">
        <v>383</v>
      </c>
      <c r="BL90">
        <v>14</v>
      </c>
      <c r="BM90" t="s">
        <v>384</v>
      </c>
      <c r="BN90" t="s">
        <v>110</v>
      </c>
      <c r="BO90">
        <v>1</v>
      </c>
      <c r="BP90" t="s">
        <v>568</v>
      </c>
      <c r="BQ90" t="s">
        <v>569</v>
      </c>
      <c r="BR90">
        <v>5.7110955270670596</v>
      </c>
      <c r="BS90" s="24">
        <v>0.20047548952552699</v>
      </c>
      <c r="BT90" s="26"/>
      <c r="BU90" s="26"/>
      <c r="BV90" s="26"/>
      <c r="BW90" s="26"/>
      <c r="BX90" s="26">
        <v>63</v>
      </c>
      <c r="BY90" s="26">
        <v>57.634109733883918</v>
      </c>
      <c r="BZ90" s="26">
        <v>87.365890266116082</v>
      </c>
      <c r="CA90" s="26">
        <v>145</v>
      </c>
      <c r="CB90">
        <f>IF(AZ90&lt;&gt;"NA",(10000/AZ90)*(125/365),(10000/BA90)*(125/365))</f>
        <v>3.1647504892367904</v>
      </c>
      <c r="CC90">
        <f>IF(BA90&lt;&gt;"NA",(10000/BA90)*(125/365),(10000/AZ90)*(125/365))</f>
        <v>3.1647504892367904</v>
      </c>
      <c r="CD90">
        <f>AE90/AVERAGE(AZ90,BA90)</f>
        <v>0.13392857142857142</v>
      </c>
      <c r="CE90">
        <f>1.911*IF(AX90&lt;&gt;"NA", AVERAGE(AX90,AY90), AVERAGE(AZ90,BA90))</f>
        <v>2067.9420289855075</v>
      </c>
      <c r="CF90">
        <v>30</v>
      </c>
      <c r="CG90" s="27">
        <f>(CF90/N90)/IF(AX90&lt;&gt;"NA", AX90,AY90)</f>
        <v>0.375</v>
      </c>
      <c r="CH90">
        <f>CF90/N90</f>
        <v>289.85507246376812</v>
      </c>
    </row>
    <row r="91" spans="1:86" ht="16.2" customHeight="1" x14ac:dyDescent="0.3">
      <c r="A91">
        <v>90</v>
      </c>
      <c r="B91" s="20" t="s">
        <v>581</v>
      </c>
      <c r="C91" t="s">
        <v>87</v>
      </c>
      <c r="D91" s="22">
        <v>-2.2790439999999998</v>
      </c>
      <c r="E91" s="22">
        <v>28.880893</v>
      </c>
      <c r="F91">
        <v>1560</v>
      </c>
      <c r="G91" s="36" t="s">
        <v>319</v>
      </c>
      <c r="H91" s="38" t="s">
        <v>320</v>
      </c>
      <c r="I91">
        <v>36</v>
      </c>
      <c r="J91" t="s">
        <v>91</v>
      </c>
      <c r="K91" t="s">
        <v>582</v>
      </c>
      <c r="L91" t="s">
        <v>583</v>
      </c>
      <c r="M91">
        <f>64*25/10000</f>
        <v>0.16</v>
      </c>
      <c r="N91">
        <f t="shared" si="3"/>
        <v>0.16</v>
      </c>
      <c r="O91" t="s">
        <v>584</v>
      </c>
      <c r="P91" t="s">
        <v>344</v>
      </c>
      <c r="Q91">
        <v>70</v>
      </c>
      <c r="R91" s="19">
        <v>44820</v>
      </c>
      <c r="S91" s="19">
        <v>44612</v>
      </c>
      <c r="T91" t="s">
        <v>585</v>
      </c>
      <c r="U91" t="s">
        <v>165</v>
      </c>
      <c r="V91" t="s">
        <v>324</v>
      </c>
      <c r="W91">
        <v>20</v>
      </c>
      <c r="X91" t="s">
        <v>100</v>
      </c>
      <c r="Y91" t="s">
        <v>101</v>
      </c>
      <c r="Z91">
        <v>2</v>
      </c>
      <c r="AA91" t="s">
        <v>366</v>
      </c>
      <c r="AB91" t="s">
        <v>326</v>
      </c>
      <c r="AC91" t="s">
        <v>100</v>
      </c>
      <c r="AD91">
        <v>5</v>
      </c>
      <c r="AE91" s="24">
        <f t="shared" si="4"/>
        <v>44.642857142857139</v>
      </c>
      <c r="AF91" t="s">
        <v>96</v>
      </c>
      <c r="AG91" t="s">
        <v>101</v>
      </c>
      <c r="AH91" t="s">
        <v>563</v>
      </c>
      <c r="AI91" t="s">
        <v>586</v>
      </c>
      <c r="AJ91" t="s">
        <v>328</v>
      </c>
      <c r="AK91" t="s">
        <v>366</v>
      </c>
      <c r="AL91" t="s">
        <v>330</v>
      </c>
      <c r="AM91">
        <v>1</v>
      </c>
      <c r="AN91" t="s">
        <v>331</v>
      </c>
      <c r="AO91" s="25" t="s">
        <v>90</v>
      </c>
      <c r="AP91" t="s">
        <v>587</v>
      </c>
      <c r="AQ91" t="s">
        <v>565</v>
      </c>
      <c r="AR91">
        <v>3</v>
      </c>
      <c r="AS91" t="s">
        <v>588</v>
      </c>
      <c r="AT91" t="s">
        <v>589</v>
      </c>
      <c r="AU91" t="s">
        <v>100</v>
      </c>
      <c r="AV91" t="s">
        <v>335</v>
      </c>
      <c r="AW91" t="s">
        <v>336</v>
      </c>
      <c r="AX91" t="s">
        <v>90</v>
      </c>
      <c r="AY91" s="51">
        <f>(120/$M91)</f>
        <v>750</v>
      </c>
      <c r="AZ91" s="51" t="s">
        <v>90</v>
      </c>
      <c r="BA91">
        <f>AY91+AY91*((100-Q91)/100)</f>
        <v>975</v>
      </c>
      <c r="BB91">
        <f>(300/$M91)</f>
        <v>1875</v>
      </c>
      <c r="BC91">
        <f>BB91+(BB91*Q91)/(100-Q91)</f>
        <v>6250</v>
      </c>
      <c r="BD91" t="s">
        <v>90</v>
      </c>
      <c r="BE91" t="s">
        <v>90</v>
      </c>
      <c r="BF91">
        <f>AY91/BA91+BB91/BC91</f>
        <v>1.0692307692307692</v>
      </c>
      <c r="BG91">
        <v>1700</v>
      </c>
      <c r="BH91" s="25" t="s">
        <v>90</v>
      </c>
      <c r="BI91" s="25" t="s">
        <v>90</v>
      </c>
      <c r="BJ91" t="s">
        <v>566</v>
      </c>
      <c r="BK91" t="s">
        <v>567</v>
      </c>
      <c r="BL91">
        <v>14</v>
      </c>
      <c r="BM91" t="s">
        <v>384</v>
      </c>
      <c r="BN91" t="s">
        <v>110</v>
      </c>
      <c r="BO91">
        <v>1</v>
      </c>
      <c r="BP91" t="s">
        <v>568</v>
      </c>
      <c r="BQ91" t="s">
        <v>569</v>
      </c>
      <c r="BR91">
        <v>6.06</v>
      </c>
      <c r="BS91" s="24">
        <v>0.21160000000000001</v>
      </c>
      <c r="BT91" s="26">
        <v>73.000255999999993</v>
      </c>
      <c r="BU91" s="26">
        <v>26.999101</v>
      </c>
      <c r="BV91" s="26">
        <v>0</v>
      </c>
      <c r="BW91" s="26" t="s">
        <v>71</v>
      </c>
      <c r="BX91" s="26">
        <v>63</v>
      </c>
      <c r="BY91" s="26">
        <v>74.472000000000008</v>
      </c>
      <c r="BZ91" s="26">
        <v>70.527999999999992</v>
      </c>
      <c r="CA91" s="26">
        <v>145</v>
      </c>
      <c r="CB91">
        <f>IF(AZ91&lt;&gt;"NA",(10000/AZ91)*(125/365),(10000/BA91)*(125/365))</f>
        <v>3.5124692658939236</v>
      </c>
      <c r="CC91">
        <f>IF(BA91&lt;&gt;"NA",(10000/BA91)*(125/365),(10000/AZ91)*(125/365))</f>
        <v>3.5124692658939236</v>
      </c>
      <c r="CD91">
        <f>AE91/AVERAGE(AZ91,BA91)</f>
        <v>4.5787545787545784E-2</v>
      </c>
      <c r="CE91">
        <f>1.911*IF(AX91&lt;&gt;"NA", AVERAGE(AX91,AY91), AVERAGE(AZ91,BA91))</f>
        <v>1863.2250000000001</v>
      </c>
      <c r="CF91">
        <v>40</v>
      </c>
      <c r="CG91" s="27">
        <f>(CF91/N91)/IF(AX91&lt;&gt;"NA", AX91,AY91)</f>
        <v>0.33333333333333331</v>
      </c>
      <c r="CH91">
        <f>CF91/N91</f>
        <v>250</v>
      </c>
    </row>
    <row r="92" spans="1:86" ht="15.6" x14ac:dyDescent="0.3">
      <c r="A92">
        <v>91</v>
      </c>
      <c r="B92" s="20" t="s">
        <v>590</v>
      </c>
      <c r="C92" t="s">
        <v>134</v>
      </c>
      <c r="D92" s="22">
        <v>-2.27921</v>
      </c>
      <c r="E92" s="22">
        <v>28.880848</v>
      </c>
      <c r="F92">
        <v>1562</v>
      </c>
      <c r="G92" s="36" t="s">
        <v>319</v>
      </c>
      <c r="H92" s="38" t="s">
        <v>320</v>
      </c>
      <c r="I92">
        <v>36</v>
      </c>
      <c r="J92" t="s">
        <v>91</v>
      </c>
      <c r="K92" t="s">
        <v>582</v>
      </c>
      <c r="L92" t="s">
        <v>583</v>
      </c>
      <c r="M92">
        <f>20*15/10000</f>
        <v>0.03</v>
      </c>
      <c r="N92">
        <f t="shared" si="3"/>
        <v>0.03</v>
      </c>
      <c r="O92" t="s">
        <v>584</v>
      </c>
      <c r="P92" t="s">
        <v>344</v>
      </c>
      <c r="Q92">
        <v>60</v>
      </c>
      <c r="R92" s="19">
        <v>44829</v>
      </c>
      <c r="S92" s="19">
        <v>44978</v>
      </c>
      <c r="T92" t="s">
        <v>582</v>
      </c>
      <c r="U92" t="s">
        <v>165</v>
      </c>
      <c r="V92" t="s">
        <v>324</v>
      </c>
      <c r="W92">
        <v>20</v>
      </c>
      <c r="X92" t="s">
        <v>100</v>
      </c>
      <c r="Y92" t="s">
        <v>101</v>
      </c>
      <c r="Z92">
        <v>2</v>
      </c>
      <c r="AA92" t="s">
        <v>366</v>
      </c>
      <c r="AB92" t="s">
        <v>326</v>
      </c>
      <c r="AC92" t="s">
        <v>100</v>
      </c>
      <c r="AD92">
        <v>2</v>
      </c>
      <c r="AE92" s="24">
        <f t="shared" si="4"/>
        <v>111.11111111111111</v>
      </c>
      <c r="AF92" t="s">
        <v>96</v>
      </c>
      <c r="AG92" t="s">
        <v>101</v>
      </c>
      <c r="AH92" t="s">
        <v>563</v>
      </c>
      <c r="AI92" t="s">
        <v>586</v>
      </c>
      <c r="AJ92" t="s">
        <v>328</v>
      </c>
      <c r="AK92" t="s">
        <v>366</v>
      </c>
      <c r="AL92" t="s">
        <v>330</v>
      </c>
      <c r="AM92">
        <v>1</v>
      </c>
      <c r="AN92" t="s">
        <v>331</v>
      </c>
      <c r="AO92" s="25" t="s">
        <v>90</v>
      </c>
      <c r="AP92" t="s">
        <v>591</v>
      </c>
      <c r="AQ92" t="s">
        <v>565</v>
      </c>
      <c r="AR92">
        <v>15</v>
      </c>
      <c r="AS92" t="s">
        <v>100</v>
      </c>
      <c r="AT92" t="s">
        <v>103</v>
      </c>
      <c r="AU92" t="s">
        <v>100</v>
      </c>
      <c r="AV92" t="s">
        <v>335</v>
      </c>
      <c r="AW92" t="s">
        <v>336</v>
      </c>
      <c r="AX92" s="20">
        <f>(50/$M92)</f>
        <v>1666.6666666666667</v>
      </c>
      <c r="AY92" s="52">
        <f>(50/$M92)</f>
        <v>1666.6666666666667</v>
      </c>
      <c r="AZ92" s="51">
        <f>AX92+AX92*((100-Q92)/100)</f>
        <v>2333.3333333333335</v>
      </c>
      <c r="BA92">
        <f>AY92+AY92*((100-Q92)/100)</f>
        <v>2333.3333333333335</v>
      </c>
      <c r="BB92" s="20">
        <f>(100/$M92)</f>
        <v>3333.3333333333335</v>
      </c>
      <c r="BC92">
        <f>BB92+(BB92*Q92)/(100-Q92)</f>
        <v>8333.3333333333339</v>
      </c>
      <c r="BD92" t="s">
        <v>90</v>
      </c>
      <c r="BE92" t="s">
        <v>90</v>
      </c>
      <c r="BF92">
        <f>AY92/BA92+BB92/BC92</f>
        <v>1.1142857142857143</v>
      </c>
      <c r="BG92">
        <v>1700</v>
      </c>
      <c r="BH92" s="25" t="s">
        <v>90</v>
      </c>
      <c r="BI92" t="s">
        <v>103</v>
      </c>
      <c r="BJ92" t="s">
        <v>566</v>
      </c>
      <c r="BK92" t="s">
        <v>567</v>
      </c>
      <c r="BL92">
        <v>14</v>
      </c>
      <c r="BM92" t="s">
        <v>384</v>
      </c>
      <c r="BN92" t="s">
        <v>110</v>
      </c>
      <c r="BO92">
        <v>1</v>
      </c>
      <c r="BP92" t="s">
        <v>568</v>
      </c>
      <c r="BQ92" t="s">
        <v>569</v>
      </c>
      <c r="BR92">
        <v>5.76</v>
      </c>
      <c r="BS92" s="24">
        <v>0.21629999999999999</v>
      </c>
      <c r="BT92" s="26">
        <v>78.4751701</v>
      </c>
      <c r="BU92" s="26">
        <v>21.5248138</v>
      </c>
      <c r="BV92" s="26">
        <v>0</v>
      </c>
      <c r="BW92" s="26" t="s">
        <v>71</v>
      </c>
      <c r="BX92" s="26">
        <v>63</v>
      </c>
      <c r="BY92" s="26">
        <v>76.367999999999995</v>
      </c>
      <c r="BZ92" s="26">
        <v>68.632000000000005</v>
      </c>
      <c r="CA92" s="26">
        <v>145</v>
      </c>
      <c r="CB92">
        <f>IF(AZ92&lt;&gt;"NA",(10000/AZ92)*(125/365),(10000/BA92)*(125/365))</f>
        <v>1.4677103718199607</v>
      </c>
      <c r="CC92">
        <f>IF(BA92&lt;&gt;"NA",(10000/BA92)*(125/365),(10000/AZ92)*(125/365))</f>
        <v>1.4677103718199607</v>
      </c>
      <c r="CD92">
        <f>AE92/AVERAGE(AZ92,BA92)</f>
        <v>4.7619047619047616E-2</v>
      </c>
      <c r="CE92">
        <f>1.911*IF(AX92&lt;&gt;"NA", AVERAGE(AX92,AY92), AVERAGE(AZ92,BA92))</f>
        <v>3185</v>
      </c>
      <c r="CF92">
        <v>15</v>
      </c>
      <c r="CG92" s="27">
        <f>(CF92/N92)/IF(AX92&lt;&gt;"NA", AX92,AY92)</f>
        <v>0.3</v>
      </c>
      <c r="CH92">
        <f>CF92/N92</f>
        <v>500</v>
      </c>
    </row>
    <row r="93" spans="1:86" ht="15.6" customHeight="1" x14ac:dyDescent="0.3">
      <c r="A93">
        <v>92</v>
      </c>
      <c r="B93" s="20" t="s">
        <v>592</v>
      </c>
      <c r="C93" t="s">
        <v>87</v>
      </c>
      <c r="D93" s="22">
        <v>-2.2782979999999999</v>
      </c>
      <c r="E93" s="22">
        <v>28.892928999999999</v>
      </c>
      <c r="F93">
        <v>1599</v>
      </c>
      <c r="G93" s="36" t="s">
        <v>319</v>
      </c>
      <c r="H93" s="38" t="s">
        <v>320</v>
      </c>
      <c r="I93">
        <v>40</v>
      </c>
      <c r="J93" t="s">
        <v>91</v>
      </c>
      <c r="K93" t="s">
        <v>445</v>
      </c>
      <c r="L93" t="s">
        <v>445</v>
      </c>
      <c r="M93">
        <f>35*29.7/10000</f>
        <v>0.10395</v>
      </c>
      <c r="N93">
        <f t="shared" si="3"/>
        <v>0.10395</v>
      </c>
      <c r="O93" t="s">
        <v>593</v>
      </c>
      <c r="P93" t="s">
        <v>93</v>
      </c>
      <c r="Q93">
        <v>40</v>
      </c>
      <c r="R93" s="19">
        <v>44819</v>
      </c>
      <c r="S93" s="19">
        <v>44956</v>
      </c>
      <c r="T93" t="s">
        <v>415</v>
      </c>
      <c r="U93" t="s">
        <v>594</v>
      </c>
      <c r="V93" t="s">
        <v>324</v>
      </c>
      <c r="W93">
        <v>20</v>
      </c>
      <c r="X93" t="s">
        <v>100</v>
      </c>
      <c r="Y93" t="s">
        <v>101</v>
      </c>
      <c r="Z93">
        <v>2</v>
      </c>
      <c r="AA93" t="s">
        <v>366</v>
      </c>
      <c r="AB93" t="s">
        <v>326</v>
      </c>
      <c r="AC93" t="s">
        <v>100</v>
      </c>
      <c r="AD93">
        <v>6</v>
      </c>
      <c r="AE93" s="24">
        <f t="shared" si="4"/>
        <v>144.30014430014427</v>
      </c>
      <c r="AF93" t="s">
        <v>96</v>
      </c>
      <c r="AG93" t="s">
        <v>101</v>
      </c>
      <c r="AH93" t="s">
        <v>563</v>
      </c>
      <c r="AI93" t="s">
        <v>586</v>
      </c>
      <c r="AJ93" t="s">
        <v>595</v>
      </c>
      <c r="AK93" t="s">
        <v>366</v>
      </c>
      <c r="AL93" t="s">
        <v>330</v>
      </c>
      <c r="AM93">
        <v>2</v>
      </c>
      <c r="AN93" t="s">
        <v>331</v>
      </c>
      <c r="AO93" s="25" t="s">
        <v>90</v>
      </c>
      <c r="AP93" t="s">
        <v>332</v>
      </c>
      <c r="AQ93" t="s">
        <v>332</v>
      </c>
      <c r="AR93">
        <v>10</v>
      </c>
      <c r="AS93" t="s">
        <v>100</v>
      </c>
      <c r="AT93" t="s">
        <v>565</v>
      </c>
      <c r="AU93" t="s">
        <v>447</v>
      </c>
      <c r="AV93" t="s">
        <v>335</v>
      </c>
      <c r="AW93" t="s">
        <v>336</v>
      </c>
      <c r="AX93" s="20">
        <f>(45/$M93)</f>
        <v>432.90043290043292</v>
      </c>
      <c r="AY93" s="52">
        <f>(60/$M93)</f>
        <v>577.20057720057719</v>
      </c>
      <c r="AZ93" s="51">
        <f>AX93+AX93*((100-Q93)/100)</f>
        <v>692.64069264069258</v>
      </c>
      <c r="BA93">
        <f>AY93+AY93*((100-Q93)/100)</f>
        <v>923.52092352092347</v>
      </c>
      <c r="BB93" s="20">
        <f>(200/$M93)</f>
        <v>1924.001924001924</v>
      </c>
      <c r="BC93">
        <f>BB93+(BB93*Q93)/(100-Q93)</f>
        <v>3206.6698733365401</v>
      </c>
      <c r="BD93" s="20">
        <f>(45/$M93)</f>
        <v>432.90043290043292</v>
      </c>
      <c r="BE93">
        <f>BD93+(BD93*Q93)/(100-Q93)</f>
        <v>721.50072150072151</v>
      </c>
      <c r="BF93">
        <f>AX93/AZ93+BD93/BE93</f>
        <v>1.2250000000000001</v>
      </c>
      <c r="BG93">
        <v>1700</v>
      </c>
      <c r="BH93" s="25" t="s">
        <v>90</v>
      </c>
      <c r="BI93" t="s">
        <v>596</v>
      </c>
      <c r="BJ93" t="s">
        <v>597</v>
      </c>
      <c r="BK93" t="s">
        <v>598</v>
      </c>
      <c r="BL93">
        <v>14</v>
      </c>
      <c r="BM93" t="s">
        <v>599</v>
      </c>
      <c r="BN93" t="s">
        <v>110</v>
      </c>
      <c r="BO93">
        <v>1</v>
      </c>
      <c r="BP93" t="s">
        <v>568</v>
      </c>
      <c r="BQ93" t="s">
        <v>569</v>
      </c>
      <c r="BR93">
        <v>5</v>
      </c>
      <c r="BS93" s="24">
        <v>0.157</v>
      </c>
      <c r="BT93" s="26">
        <v>82.2299261</v>
      </c>
      <c r="BU93" s="26">
        <v>14.93323</v>
      </c>
      <c r="BV93" s="26">
        <v>2.8368440000000001</v>
      </c>
      <c r="BW93" s="26" t="s">
        <v>71</v>
      </c>
      <c r="BX93" s="26">
        <v>63</v>
      </c>
      <c r="BY93" s="26">
        <v>24.975999999999999</v>
      </c>
      <c r="BZ93" s="26">
        <v>120.024</v>
      </c>
      <c r="CA93" s="26">
        <v>145</v>
      </c>
      <c r="CB93">
        <f>IF(AZ93&lt;&gt;"NA",(10000/AZ93)*(125/365),(10000/BA93)*(125/365))</f>
        <v>4.9443493150684938</v>
      </c>
      <c r="CC93">
        <f>IF(BA93&lt;&gt;"NA",(10000/BA93)*(125/365),(10000/AZ93)*(125/365))</f>
        <v>3.7082619863013697</v>
      </c>
      <c r="CD93">
        <f>AE93/AVERAGE(AZ93,BA93)</f>
        <v>0.17857142857142852</v>
      </c>
      <c r="CE93">
        <f>1.911*IF(AX93&lt;&gt;"NA", AVERAGE(AX93,AY93), AVERAGE(AZ93,BA93))</f>
        <v>965.15151515151524</v>
      </c>
      <c r="CF93">
        <v>0</v>
      </c>
      <c r="CG93" s="27">
        <f>(CF93/N93)/IF(AX93&lt;&gt;"NA", AX93,AY93)</f>
        <v>0</v>
      </c>
      <c r="CH93">
        <f>CF93/N93</f>
        <v>0</v>
      </c>
    </row>
    <row r="94" spans="1:86" ht="15.6" customHeight="1" x14ac:dyDescent="0.3">
      <c r="A94">
        <v>93</v>
      </c>
      <c r="B94" s="20" t="s">
        <v>600</v>
      </c>
      <c r="C94" t="s">
        <v>87</v>
      </c>
      <c r="D94" s="22">
        <v>-2.2790148000000001</v>
      </c>
      <c r="E94" s="22">
        <v>28.887730999999999</v>
      </c>
      <c r="F94" s="25">
        <v>1563</v>
      </c>
      <c r="G94" s="36" t="s">
        <v>319</v>
      </c>
      <c r="H94" s="38" t="s">
        <v>320</v>
      </c>
      <c r="I94">
        <v>47</v>
      </c>
      <c r="J94" t="s">
        <v>91</v>
      </c>
      <c r="K94" t="s">
        <v>363</v>
      </c>
      <c r="L94" t="s">
        <v>363</v>
      </c>
      <c r="M94">
        <f>40*34/10000</f>
        <v>0.13600000000000001</v>
      </c>
      <c r="N94">
        <f t="shared" si="3"/>
        <v>0.13600000000000001</v>
      </c>
      <c r="O94" t="s">
        <v>471</v>
      </c>
      <c r="P94" t="s">
        <v>93</v>
      </c>
      <c r="Q94">
        <v>30</v>
      </c>
      <c r="R94" s="19">
        <v>44835</v>
      </c>
      <c r="S94" s="19">
        <v>44959</v>
      </c>
      <c r="T94" t="s">
        <v>264</v>
      </c>
      <c r="U94" t="s">
        <v>601</v>
      </c>
      <c r="V94" t="s">
        <v>324</v>
      </c>
      <c r="W94">
        <v>20</v>
      </c>
      <c r="X94" t="s">
        <v>100</v>
      </c>
      <c r="Y94" t="s">
        <v>101</v>
      </c>
      <c r="Z94">
        <v>2</v>
      </c>
      <c r="AA94" t="s">
        <v>366</v>
      </c>
      <c r="AB94" t="s">
        <v>326</v>
      </c>
      <c r="AC94" t="s">
        <v>100</v>
      </c>
      <c r="AD94">
        <v>6</v>
      </c>
      <c r="AE94" s="24">
        <f t="shared" si="4"/>
        <v>147.05882352941177</v>
      </c>
      <c r="AF94" t="s">
        <v>324</v>
      </c>
      <c r="AG94" t="s">
        <v>101</v>
      </c>
      <c r="AH94" t="s">
        <v>563</v>
      </c>
      <c r="AI94" t="s">
        <v>586</v>
      </c>
      <c r="AJ94" t="s">
        <v>602</v>
      </c>
      <c r="AK94" t="s">
        <v>366</v>
      </c>
      <c r="AL94" t="s">
        <v>330</v>
      </c>
      <c r="AM94" t="s">
        <v>329</v>
      </c>
      <c r="AN94" t="s">
        <v>331</v>
      </c>
      <c r="AO94" s="25" t="s">
        <v>90</v>
      </c>
      <c r="AP94" t="s">
        <v>332</v>
      </c>
      <c r="AQ94" t="s">
        <v>332</v>
      </c>
      <c r="AR94" t="s">
        <v>346</v>
      </c>
      <c r="AS94" t="s">
        <v>100</v>
      </c>
      <c r="AT94" s="25" t="s">
        <v>90</v>
      </c>
      <c r="AU94" t="s">
        <v>416</v>
      </c>
      <c r="AV94" t="s">
        <v>335</v>
      </c>
      <c r="AW94" t="s">
        <v>336</v>
      </c>
      <c r="AX94" s="20">
        <f>(75/$M94)</f>
        <v>551.47058823529403</v>
      </c>
      <c r="AY94" s="52">
        <f>(60/$M94)</f>
        <v>441.17647058823525</v>
      </c>
      <c r="AZ94" s="51">
        <f>AX94+AX94*((100-Q94)/100)</f>
        <v>937.49999999999977</v>
      </c>
      <c r="BA94">
        <f>AY94+AY94*((100-Q94)/100)</f>
        <v>749.99999999999989</v>
      </c>
      <c r="BB94" s="20">
        <f>(600/$M94)</f>
        <v>4411.7647058823522</v>
      </c>
      <c r="BC94">
        <f>BB94+(BB94*Q94)/(100-Q94)</f>
        <v>6302.5210084033606</v>
      </c>
      <c r="BD94" t="s">
        <v>90</v>
      </c>
      <c r="BE94" t="s">
        <v>90</v>
      </c>
      <c r="BF94">
        <f>AX94/AZ94+BB94/BC94</f>
        <v>1.2882352941176469</v>
      </c>
      <c r="BG94">
        <v>1700</v>
      </c>
      <c r="BH94" s="25" t="s">
        <v>90</v>
      </c>
      <c r="BI94" s="25" t="s">
        <v>90</v>
      </c>
      <c r="BJ94" t="s">
        <v>543</v>
      </c>
      <c r="BK94" t="s">
        <v>598</v>
      </c>
      <c r="BL94">
        <v>14</v>
      </c>
      <c r="BM94" t="s">
        <v>599</v>
      </c>
      <c r="BN94" t="s">
        <v>110</v>
      </c>
      <c r="BO94">
        <v>1</v>
      </c>
      <c r="BP94" t="s">
        <v>568</v>
      </c>
      <c r="BQ94" t="s">
        <v>569</v>
      </c>
      <c r="BR94">
        <v>5.71</v>
      </c>
      <c r="BS94" s="24">
        <v>0.22020000000000001</v>
      </c>
      <c r="BT94" s="26">
        <v>75.4751701</v>
      </c>
      <c r="BU94" s="26">
        <v>24.5248138</v>
      </c>
      <c r="BV94" s="26">
        <v>0</v>
      </c>
      <c r="BW94" s="26" t="s">
        <v>71</v>
      </c>
      <c r="BX94" s="26">
        <v>63</v>
      </c>
      <c r="BY94" s="26">
        <v>44.927999999999997</v>
      </c>
      <c r="BZ94" s="26">
        <v>100.072</v>
      </c>
      <c r="CA94" s="26">
        <v>145</v>
      </c>
      <c r="CB94">
        <f>IF(AZ94&lt;&gt;"NA",(10000/AZ94)*(125/365),(10000/BA94)*(125/365))</f>
        <v>3.6529680365296811</v>
      </c>
      <c r="CC94">
        <f>IF(BA94&lt;&gt;"NA",(10000/BA94)*(125/365),(10000/AZ94)*(125/365))</f>
        <v>4.5662100456621006</v>
      </c>
      <c r="CD94">
        <f>AE94/AVERAGE(AZ94,BA94)</f>
        <v>0.17429193899782139</v>
      </c>
      <c r="CE94">
        <f>1.911*IF(AX94&lt;&gt;"NA", AVERAGE(AX94,AY94), AVERAGE(AZ94,BA94))</f>
        <v>948.47426470588221</v>
      </c>
      <c r="CF94">
        <v>40</v>
      </c>
      <c r="CG94" s="27">
        <f>(CF94/N94)/IF(AX94&lt;&gt;"NA", AX94,AY94)</f>
        <v>0.53333333333333344</v>
      </c>
      <c r="CH94">
        <f>CF94/N94</f>
        <v>294.11764705882354</v>
      </c>
    </row>
    <row r="95" spans="1:86" ht="14.1" customHeight="1" x14ac:dyDescent="0.3">
      <c r="A95">
        <v>94</v>
      </c>
      <c r="B95" s="20" t="s">
        <v>603</v>
      </c>
      <c r="C95" t="s">
        <v>134</v>
      </c>
      <c r="D95">
        <v>-2.2799130000000001</v>
      </c>
      <c r="E95">
        <v>28.898118</v>
      </c>
      <c r="F95">
        <v>1679</v>
      </c>
      <c r="G95" s="36" t="s">
        <v>319</v>
      </c>
      <c r="H95" s="38" t="s">
        <v>320</v>
      </c>
      <c r="I95">
        <v>45</v>
      </c>
      <c r="J95" t="s">
        <v>91</v>
      </c>
      <c r="K95" t="s">
        <v>420</v>
      </c>
      <c r="L95" t="s">
        <v>364</v>
      </c>
      <c r="M95">
        <f>31*8/10000</f>
        <v>2.4799999999999999E-2</v>
      </c>
      <c r="N95">
        <f t="shared" si="3"/>
        <v>2.4799999999999999E-2</v>
      </c>
      <c r="O95" t="s">
        <v>363</v>
      </c>
      <c r="P95" t="s">
        <v>344</v>
      </c>
      <c r="Q95">
        <v>90</v>
      </c>
      <c r="R95" s="19">
        <v>44835</v>
      </c>
      <c r="S95" s="19">
        <v>44962</v>
      </c>
      <c r="T95" t="s">
        <v>415</v>
      </c>
      <c r="U95" t="s">
        <v>604</v>
      </c>
      <c r="V95" t="s">
        <v>324</v>
      </c>
      <c r="W95">
        <v>20</v>
      </c>
      <c r="X95" t="s">
        <v>100</v>
      </c>
      <c r="Y95" t="s">
        <v>101</v>
      </c>
      <c r="Z95">
        <v>2</v>
      </c>
      <c r="AA95" t="s">
        <v>366</v>
      </c>
      <c r="AB95" t="s">
        <v>326</v>
      </c>
      <c r="AC95" t="s">
        <v>100</v>
      </c>
      <c r="AD95">
        <v>2.25</v>
      </c>
      <c r="AE95" s="24">
        <f t="shared" si="4"/>
        <v>100.80645161290325</v>
      </c>
      <c r="AF95" t="s">
        <v>96</v>
      </c>
      <c r="AG95" t="s">
        <v>101</v>
      </c>
      <c r="AH95" t="s">
        <v>605</v>
      </c>
      <c r="AI95" t="s">
        <v>586</v>
      </c>
      <c r="AJ95" t="s">
        <v>606</v>
      </c>
      <c r="AK95" t="s">
        <v>366</v>
      </c>
      <c r="AL95" t="s">
        <v>330</v>
      </c>
      <c r="AM95" t="s">
        <v>329</v>
      </c>
      <c r="AN95" t="s">
        <v>331</v>
      </c>
      <c r="AO95" s="25" t="s">
        <v>90</v>
      </c>
      <c r="AP95" t="s">
        <v>424</v>
      </c>
      <c r="AQ95" t="s">
        <v>424</v>
      </c>
      <c r="AR95" t="s">
        <v>346</v>
      </c>
      <c r="AS95" t="s">
        <v>100</v>
      </c>
      <c r="AT95" t="s">
        <v>565</v>
      </c>
      <c r="AU95" t="s">
        <v>100</v>
      </c>
      <c r="AV95" t="s">
        <v>335</v>
      </c>
      <c r="AW95" t="s">
        <v>336</v>
      </c>
      <c r="AX95" s="20" t="s">
        <v>90</v>
      </c>
      <c r="AY95" s="52">
        <f>(30/$M95)</f>
        <v>1209.6774193548388</v>
      </c>
      <c r="AZ95" s="51" t="s">
        <v>90</v>
      </c>
      <c r="BA95">
        <f>AY95+AY95*((100-Q95)/100)</f>
        <v>1330.6451612903227</v>
      </c>
      <c r="BB95" s="20">
        <f>(10/$M95)</f>
        <v>403.22580645161293</v>
      </c>
      <c r="BC95">
        <f>BB95+(BB95*Q95)/(100-Q95)</f>
        <v>4032.2580645161297</v>
      </c>
      <c r="BD95" t="s">
        <v>90</v>
      </c>
      <c r="BE95" t="s">
        <v>90</v>
      </c>
      <c r="BF95">
        <f>AY95/BA95+BB95/BC95</f>
        <v>1.009090909090909</v>
      </c>
      <c r="BG95">
        <v>1700</v>
      </c>
      <c r="BH95" s="25" t="s">
        <v>90</v>
      </c>
      <c r="BI95" s="25" t="s">
        <v>90</v>
      </c>
      <c r="BJ95" t="s">
        <v>543</v>
      </c>
      <c r="BK95" t="s">
        <v>598</v>
      </c>
      <c r="BL95">
        <v>14</v>
      </c>
      <c r="BM95" t="s">
        <v>599</v>
      </c>
      <c r="BN95" t="s">
        <v>110</v>
      </c>
      <c r="BO95">
        <v>0</v>
      </c>
      <c r="BP95" s="24" t="s">
        <v>132</v>
      </c>
      <c r="BQ95" t="s">
        <v>371</v>
      </c>
      <c r="BR95">
        <v>5.84</v>
      </c>
      <c r="BS95" s="24">
        <v>0.21149999999999999</v>
      </c>
      <c r="BT95" s="26">
        <v>76.597304899999997</v>
      </c>
      <c r="BU95" s="26">
        <v>23.402704199999999</v>
      </c>
      <c r="BV95" s="26">
        <v>0</v>
      </c>
      <c r="BW95" s="26" t="s">
        <v>71</v>
      </c>
      <c r="BX95" s="26">
        <v>63</v>
      </c>
      <c r="BY95" s="26">
        <v>66.527999999999992</v>
      </c>
      <c r="BZ95" s="26">
        <v>78.472000000000008</v>
      </c>
      <c r="CA95" s="26">
        <v>145</v>
      </c>
      <c r="CB95">
        <f>IF(AZ95&lt;&gt;"NA",(10000/AZ95)*(125/365),(10000/BA95)*(125/365))</f>
        <v>2.57368202573682</v>
      </c>
      <c r="CC95">
        <f>IF(BA95&lt;&gt;"NA",(10000/BA95)*(125/365),(10000/AZ95)*(125/365))</f>
        <v>2.57368202573682</v>
      </c>
      <c r="CD95">
        <f>AE95/AVERAGE(AZ95,BA95)</f>
        <v>7.5757575757575774E-2</v>
      </c>
      <c r="CE95">
        <f>1.911*IF(AX95&lt;&gt;"NA", AVERAGE(AX95,AY95), AVERAGE(AZ95,BA95))</f>
        <v>2542.8629032258068</v>
      </c>
      <c r="CF95">
        <v>10</v>
      </c>
      <c r="CG95" s="27">
        <f>(CF95/N95)/IF(AX95&lt;&gt;"NA", AX95,AY95)</f>
        <v>0.33333333333333331</v>
      </c>
      <c r="CH95">
        <f>CF95/N95</f>
        <v>403.22580645161293</v>
      </c>
    </row>
    <row r="96" spans="1:86" ht="18.600000000000001" customHeight="1" x14ac:dyDescent="0.3">
      <c r="A96">
        <v>95</v>
      </c>
      <c r="B96" s="20" t="s">
        <v>607</v>
      </c>
      <c r="C96" t="s">
        <v>87</v>
      </c>
      <c r="D96">
        <v>-2.2794351000000002</v>
      </c>
      <c r="E96">
        <v>28.898443100000001</v>
      </c>
      <c r="F96">
        <v>1680</v>
      </c>
      <c r="G96" s="36" t="s">
        <v>319</v>
      </c>
      <c r="H96" s="38" t="s">
        <v>320</v>
      </c>
      <c r="I96">
        <v>48</v>
      </c>
      <c r="J96" t="s">
        <v>91</v>
      </c>
      <c r="K96" t="s">
        <v>461</v>
      </c>
      <c r="L96" t="s">
        <v>461</v>
      </c>
      <c r="M96">
        <f>38.2*12.2/10000</f>
        <v>4.6604E-2</v>
      </c>
      <c r="N96">
        <f t="shared" si="3"/>
        <v>4.6604E-2</v>
      </c>
      <c r="O96" t="s">
        <v>363</v>
      </c>
      <c r="P96" t="s">
        <v>93</v>
      </c>
      <c r="Q96">
        <v>60</v>
      </c>
      <c r="R96" s="19">
        <v>44839</v>
      </c>
      <c r="S96" s="19">
        <v>44963</v>
      </c>
      <c r="T96" t="s">
        <v>608</v>
      </c>
      <c r="U96" t="s">
        <v>604</v>
      </c>
      <c r="V96" t="s">
        <v>324</v>
      </c>
      <c r="W96">
        <v>20</v>
      </c>
      <c r="X96" t="s">
        <v>100</v>
      </c>
      <c r="Y96" t="s">
        <v>101</v>
      </c>
      <c r="Z96">
        <v>2</v>
      </c>
      <c r="AA96" t="s">
        <v>366</v>
      </c>
      <c r="AB96" t="s">
        <v>326</v>
      </c>
      <c r="AC96" t="s">
        <v>100</v>
      </c>
      <c r="AD96">
        <v>1.5</v>
      </c>
      <c r="AE96" s="24">
        <f t="shared" si="4"/>
        <v>53.64346408033645</v>
      </c>
      <c r="AF96" t="s">
        <v>324</v>
      </c>
      <c r="AG96" t="s">
        <v>101</v>
      </c>
      <c r="AH96" t="s">
        <v>563</v>
      </c>
      <c r="AI96" t="s">
        <v>586</v>
      </c>
      <c r="AJ96" t="s">
        <v>609</v>
      </c>
      <c r="AK96" t="s">
        <v>366</v>
      </c>
      <c r="AL96" t="s">
        <v>330</v>
      </c>
      <c r="AM96">
        <v>2</v>
      </c>
      <c r="AN96" t="s">
        <v>331</v>
      </c>
      <c r="AO96" s="25" t="s">
        <v>90</v>
      </c>
      <c r="AP96" t="s">
        <v>332</v>
      </c>
      <c r="AQ96" t="s">
        <v>332</v>
      </c>
      <c r="AR96" t="s">
        <v>346</v>
      </c>
      <c r="AS96" t="s">
        <v>100</v>
      </c>
      <c r="AT96" t="s">
        <v>565</v>
      </c>
      <c r="AU96" t="s">
        <v>610</v>
      </c>
      <c r="AV96" t="s">
        <v>335</v>
      </c>
      <c r="AW96" t="s">
        <v>336</v>
      </c>
      <c r="AX96" s="20">
        <f>(25/$M96)</f>
        <v>536.43464080336457</v>
      </c>
      <c r="AY96" s="52">
        <f>(20/$M96)</f>
        <v>429.1477126426916</v>
      </c>
      <c r="AZ96" s="51">
        <f>AX96+AX96*((100-Q96)/100)</f>
        <v>751.0084971247104</v>
      </c>
      <c r="BA96">
        <f>AY96+AY96*((100-Q96)/100)</f>
        <v>600.80679769976825</v>
      </c>
      <c r="BB96" s="20">
        <f>(30/$M96)</f>
        <v>643.72156896403737</v>
      </c>
      <c r="BC96">
        <f>BB96+(BB96*Q96)/(100-Q96)</f>
        <v>1609.3039224100935</v>
      </c>
      <c r="BD96" t="s">
        <v>90</v>
      </c>
      <c r="BE96" t="s">
        <v>90</v>
      </c>
      <c r="BF96">
        <f>AX96/AZ96+BB96/BC96</f>
        <v>1.1142857142857143</v>
      </c>
      <c r="BG96">
        <v>1700</v>
      </c>
      <c r="BH96" s="25" t="s">
        <v>90</v>
      </c>
      <c r="BI96" s="25" t="s">
        <v>90</v>
      </c>
      <c r="BJ96" t="s">
        <v>611</v>
      </c>
      <c r="BK96" t="s">
        <v>598</v>
      </c>
      <c r="BL96">
        <v>14</v>
      </c>
      <c r="BM96" t="s">
        <v>599</v>
      </c>
      <c r="BN96" t="s">
        <v>110</v>
      </c>
      <c r="BO96">
        <v>1</v>
      </c>
      <c r="BP96" t="s">
        <v>568</v>
      </c>
      <c r="BQ96" t="s">
        <v>569</v>
      </c>
      <c r="BR96">
        <v>5.84</v>
      </c>
      <c r="BS96" s="24">
        <v>0.22220000000000001</v>
      </c>
      <c r="BT96" s="26">
        <v>48.516605599999998</v>
      </c>
      <c r="BU96" s="26">
        <v>39.252654999999997</v>
      </c>
      <c r="BV96" s="26">
        <v>12.2307173</v>
      </c>
      <c r="BW96" s="26" t="s">
        <v>71</v>
      </c>
      <c r="BX96" s="26">
        <v>63</v>
      </c>
      <c r="BY96" s="26">
        <v>42.527999999999999</v>
      </c>
      <c r="BZ96" s="26">
        <v>102.47200000000001</v>
      </c>
      <c r="CA96" s="26">
        <v>145</v>
      </c>
      <c r="CB96">
        <f>IF(AZ96&lt;&gt;"NA",(10000/AZ96)*(125/365),(10000/BA96)*(125/365))</f>
        <v>4.5600782778864968</v>
      </c>
      <c r="CC96">
        <f>IF(BA96&lt;&gt;"NA",(10000/BA96)*(125/365),(10000/AZ96)*(125/365))</f>
        <v>5.700097847358121</v>
      </c>
      <c r="CD96">
        <f>AE96/AVERAGE(AZ96,BA96)</f>
        <v>7.9365079365079347E-2</v>
      </c>
      <c r="CE96">
        <f>1.911*IF(AX96&lt;&gt;"NA", AVERAGE(AX96,AY96), AVERAGE(AZ96,BA96))</f>
        <v>922.61393871770679</v>
      </c>
      <c r="CF96">
        <v>20</v>
      </c>
      <c r="CG96" s="27">
        <f>(CF96/N96)/IF(AX96&lt;&gt;"NA", AX96,AY96)</f>
        <v>0.79999999999999993</v>
      </c>
      <c r="CH96">
        <f>CF96/N96</f>
        <v>429.1477126426916</v>
      </c>
    </row>
    <row r="97" spans="1:86" ht="16.2" customHeight="1" x14ac:dyDescent="0.3">
      <c r="A97">
        <v>96</v>
      </c>
      <c r="B97" s="20" t="s">
        <v>612</v>
      </c>
      <c r="C97" t="s">
        <v>134</v>
      </c>
      <c r="D97">
        <v>-2.2776130000000001</v>
      </c>
      <c r="E97">
        <v>28.892762000000001</v>
      </c>
      <c r="F97">
        <v>1584</v>
      </c>
      <c r="G97" s="36" t="s">
        <v>319</v>
      </c>
      <c r="H97" s="38" t="s">
        <v>320</v>
      </c>
      <c r="I97">
        <v>56</v>
      </c>
      <c r="J97" t="s">
        <v>91</v>
      </c>
      <c r="K97" t="s">
        <v>613</v>
      </c>
      <c r="L97" t="s">
        <v>614</v>
      </c>
      <c r="M97">
        <f>22*12.5/10000</f>
        <v>2.75E-2</v>
      </c>
      <c r="N97">
        <f t="shared" si="3"/>
        <v>2.75E-2</v>
      </c>
      <c r="O97" t="s">
        <v>614</v>
      </c>
      <c r="P97" t="s">
        <v>93</v>
      </c>
      <c r="Q97">
        <v>50</v>
      </c>
      <c r="R97" s="19">
        <v>44840</v>
      </c>
      <c r="S97" s="19">
        <v>44984</v>
      </c>
      <c r="T97" t="s">
        <v>415</v>
      </c>
      <c r="U97" t="s">
        <v>604</v>
      </c>
      <c r="V97" t="s">
        <v>324</v>
      </c>
      <c r="W97">
        <v>20</v>
      </c>
      <c r="X97" t="s">
        <v>100</v>
      </c>
      <c r="Y97" t="s">
        <v>101</v>
      </c>
      <c r="Z97">
        <v>1</v>
      </c>
      <c r="AA97" t="s">
        <v>366</v>
      </c>
      <c r="AB97" t="s">
        <v>326</v>
      </c>
      <c r="AC97" t="s">
        <v>100</v>
      </c>
      <c r="AD97">
        <v>5</v>
      </c>
      <c r="AE97" s="24">
        <f t="shared" si="4"/>
        <v>363.63636363636363</v>
      </c>
      <c r="AF97" t="s">
        <v>96</v>
      </c>
      <c r="AG97" t="s">
        <v>101</v>
      </c>
      <c r="AH97" t="s">
        <v>563</v>
      </c>
      <c r="AI97" t="s">
        <v>586</v>
      </c>
      <c r="AJ97" t="s">
        <v>615</v>
      </c>
      <c r="AK97" t="s">
        <v>366</v>
      </c>
      <c r="AL97" t="s">
        <v>330</v>
      </c>
      <c r="AM97" t="s">
        <v>329</v>
      </c>
      <c r="AN97" t="s">
        <v>331</v>
      </c>
      <c r="AO97" s="25" t="s">
        <v>90</v>
      </c>
      <c r="AP97" t="s">
        <v>332</v>
      </c>
      <c r="AQ97" t="s">
        <v>332</v>
      </c>
      <c r="AR97" t="s">
        <v>346</v>
      </c>
      <c r="AS97" t="s">
        <v>100</v>
      </c>
      <c r="AT97" t="s">
        <v>577</v>
      </c>
      <c r="AU97" t="s">
        <v>100</v>
      </c>
      <c r="AV97" t="s">
        <v>335</v>
      </c>
      <c r="AW97" t="s">
        <v>336</v>
      </c>
      <c r="AX97" s="20">
        <f>(50/$M97)</f>
        <v>1818.1818181818182</v>
      </c>
      <c r="AY97" s="52">
        <f>(30/$M97)</f>
        <v>1090.909090909091</v>
      </c>
      <c r="AZ97" s="51">
        <f>AX97+AX97*((100-Q97)/100)</f>
        <v>2727.2727272727275</v>
      </c>
      <c r="BA97">
        <f>AY97+AY97*((100-Q97)/100)</f>
        <v>1636.3636363636365</v>
      </c>
      <c r="BB97" t="s">
        <v>90</v>
      </c>
      <c r="BC97" t="s">
        <v>90</v>
      </c>
      <c r="BD97" t="s">
        <v>90</v>
      </c>
      <c r="BE97" t="s">
        <v>90</v>
      </c>
      <c r="BF97" t="s">
        <v>90</v>
      </c>
      <c r="BG97">
        <v>1700</v>
      </c>
      <c r="BH97" s="25" t="s">
        <v>90</v>
      </c>
      <c r="BI97" s="25" t="s">
        <v>90</v>
      </c>
      <c r="BJ97" t="s">
        <v>611</v>
      </c>
      <c r="BK97" t="s">
        <v>598</v>
      </c>
      <c r="BL97">
        <v>14</v>
      </c>
      <c r="BM97" t="s">
        <v>599</v>
      </c>
      <c r="BN97" t="s">
        <v>110</v>
      </c>
      <c r="BO97">
        <v>1</v>
      </c>
      <c r="BP97" t="s">
        <v>568</v>
      </c>
      <c r="BQ97" t="s">
        <v>569</v>
      </c>
      <c r="BR97">
        <v>5.66</v>
      </c>
      <c r="BS97" s="24">
        <v>0.2228</v>
      </c>
      <c r="BT97" s="26">
        <v>76.183666099999996</v>
      </c>
      <c r="BU97" s="26">
        <v>21.88552</v>
      </c>
      <c r="BV97" s="26">
        <v>1.93082</v>
      </c>
      <c r="BW97" s="26" t="s">
        <v>71</v>
      </c>
      <c r="BX97" s="26">
        <v>63</v>
      </c>
      <c r="BY97" s="26">
        <v>75.024000000000001</v>
      </c>
      <c r="BZ97" s="26">
        <v>69.975999999999999</v>
      </c>
      <c r="CA97" s="26">
        <v>145</v>
      </c>
      <c r="CB97">
        <f>IF(AZ97&lt;&gt;"NA",(10000/AZ97)*(125/365),(10000/BA97)*(125/365))</f>
        <v>1.2557077625570776</v>
      </c>
      <c r="CC97">
        <f>IF(BA97&lt;&gt;"NA",(10000/BA97)*(125/365),(10000/AZ97)*(125/365))</f>
        <v>2.0928462709284625</v>
      </c>
      <c r="CD97">
        <f>AE97/AVERAGE(AZ97,BA97)</f>
        <v>0.16666666666666666</v>
      </c>
      <c r="CE97">
        <f>1.911*IF(AX97&lt;&gt;"NA", AVERAGE(AX97,AY97), AVERAGE(AZ97,BA97))</f>
        <v>2779.6363636363635</v>
      </c>
      <c r="CF97">
        <v>30</v>
      </c>
      <c r="CG97" s="27">
        <f>(CF97/N97)/IF(AX97&lt;&gt;"NA", AX97,AY97)</f>
        <v>0.6</v>
      </c>
      <c r="CH97">
        <f>CF97/N97</f>
        <v>1090.909090909091</v>
      </c>
    </row>
    <row r="98" spans="1:86" ht="17.100000000000001" customHeight="1" x14ac:dyDescent="0.3">
      <c r="A98">
        <v>97</v>
      </c>
      <c r="B98" s="20" t="s">
        <v>616</v>
      </c>
      <c r="C98" t="s">
        <v>87</v>
      </c>
      <c r="D98">
        <v>-2.282006</v>
      </c>
      <c r="E98">
        <v>28.887834999999999</v>
      </c>
      <c r="F98">
        <v>1590</v>
      </c>
      <c r="G98" s="36" t="s">
        <v>319</v>
      </c>
      <c r="H98" s="38" t="s">
        <v>320</v>
      </c>
      <c r="I98">
        <v>61</v>
      </c>
      <c r="J98" t="s">
        <v>91</v>
      </c>
      <c r="K98" t="s">
        <v>400</v>
      </c>
      <c r="L98" t="s">
        <v>617</v>
      </c>
      <c r="M98">
        <f>47*18.8/10000</f>
        <v>8.8360000000000008E-2</v>
      </c>
      <c r="N98">
        <f t="shared" si="3"/>
        <v>8.8360000000000008E-2</v>
      </c>
      <c r="O98" t="s">
        <v>303</v>
      </c>
      <c r="P98" t="s">
        <v>93</v>
      </c>
      <c r="Q98">
        <v>80</v>
      </c>
      <c r="R98" s="19">
        <v>44607</v>
      </c>
      <c r="S98" s="19">
        <v>44962</v>
      </c>
      <c r="T98" t="s">
        <v>618</v>
      </c>
      <c r="U98" t="s">
        <v>619</v>
      </c>
      <c r="V98" t="s">
        <v>324</v>
      </c>
      <c r="W98">
        <v>20</v>
      </c>
      <c r="X98" t="s">
        <v>100</v>
      </c>
      <c r="Y98" t="s">
        <v>101</v>
      </c>
      <c r="Z98">
        <v>1</v>
      </c>
      <c r="AA98" t="s">
        <v>366</v>
      </c>
      <c r="AB98" t="s">
        <v>326</v>
      </c>
      <c r="AC98" t="s">
        <v>100</v>
      </c>
      <c r="AD98">
        <v>4.5</v>
      </c>
      <c r="AE98" s="24">
        <f t="shared" si="4"/>
        <v>63.660027161611588</v>
      </c>
      <c r="AF98" t="s">
        <v>96</v>
      </c>
      <c r="AG98" t="s">
        <v>101</v>
      </c>
      <c r="AH98" t="s">
        <v>563</v>
      </c>
      <c r="AI98" t="s">
        <v>586</v>
      </c>
      <c r="AJ98" t="s">
        <v>615</v>
      </c>
      <c r="AK98" t="s">
        <v>366</v>
      </c>
      <c r="AL98" t="s">
        <v>330</v>
      </c>
      <c r="AM98" t="s">
        <v>329</v>
      </c>
      <c r="AN98" t="s">
        <v>331</v>
      </c>
      <c r="AO98" s="25" t="s">
        <v>90</v>
      </c>
      <c r="AP98" t="s">
        <v>332</v>
      </c>
      <c r="AQ98" t="s">
        <v>332</v>
      </c>
      <c r="AR98" t="s">
        <v>346</v>
      </c>
      <c r="AS98" t="s">
        <v>100</v>
      </c>
      <c r="AT98" s="25" t="s">
        <v>90</v>
      </c>
      <c r="AU98" t="s">
        <v>620</v>
      </c>
      <c r="AV98" t="s">
        <v>335</v>
      </c>
      <c r="AW98" t="s">
        <v>336</v>
      </c>
      <c r="AX98" s="20">
        <f>(52.5/$M98)</f>
        <v>594.16025350837481</v>
      </c>
      <c r="AY98" s="52">
        <f>(37.5/$M98)</f>
        <v>424.40018107741054</v>
      </c>
      <c r="AZ98" s="51">
        <f>AX98+AX98*((100-Q98)/100)</f>
        <v>712.99230421004972</v>
      </c>
      <c r="BA98">
        <f>AY98+AY98*((100-Q98)/100)</f>
        <v>509.28021729289264</v>
      </c>
      <c r="BB98" s="20">
        <f>(100/$M98)</f>
        <v>1131.7338162064282</v>
      </c>
      <c r="BC98">
        <f>BB98+(BB98*Q98)/(100-Q98)</f>
        <v>5658.6690810321406</v>
      </c>
      <c r="BD98" s="20">
        <f>(45/$M98)</f>
        <v>509.28021729289264</v>
      </c>
      <c r="BE98">
        <f>BD98+(BD98*Q98)/(100-Q98)</f>
        <v>2546.4010864644633</v>
      </c>
      <c r="BF98">
        <f>AX98/AZ98+BB98/BC98+BD98/BE98</f>
        <v>1.2333333333333334</v>
      </c>
      <c r="BG98">
        <v>1700</v>
      </c>
      <c r="BH98" s="25" t="s">
        <v>90</v>
      </c>
      <c r="BI98" s="25" t="s">
        <v>90</v>
      </c>
      <c r="BJ98" t="s">
        <v>611</v>
      </c>
      <c r="BK98" t="s">
        <v>598</v>
      </c>
      <c r="BL98">
        <v>14</v>
      </c>
      <c r="BM98" t="s">
        <v>599</v>
      </c>
      <c r="BN98" t="s">
        <v>110</v>
      </c>
      <c r="BO98">
        <v>1</v>
      </c>
      <c r="BP98" t="s">
        <v>568</v>
      </c>
      <c r="BQ98" t="s">
        <v>569</v>
      </c>
      <c r="BR98">
        <v>6.11</v>
      </c>
      <c r="BS98" s="24">
        <v>0.30940000000000001</v>
      </c>
      <c r="BT98" s="26">
        <v>72.992700999999997</v>
      </c>
      <c r="BU98" s="26">
        <v>25.5248138</v>
      </c>
      <c r="BV98" s="26">
        <v>1.4923999999999999</v>
      </c>
      <c r="BW98" s="26" t="s">
        <v>71</v>
      </c>
      <c r="BX98" s="26">
        <v>63</v>
      </c>
      <c r="BY98" s="26">
        <v>78.575999999999993</v>
      </c>
      <c r="BZ98" s="26">
        <v>66.424000000000007</v>
      </c>
      <c r="CA98" s="26">
        <v>145</v>
      </c>
      <c r="CB98">
        <f>IF(AZ98&lt;&gt;"NA",(10000/AZ98)*(125/365),(10000/BA98)*(125/365))</f>
        <v>4.8032180908893238</v>
      </c>
      <c r="CC98">
        <f>IF(BA98&lt;&gt;"NA",(10000/BA98)*(125/365),(10000/AZ98)*(125/365))</f>
        <v>6.7245053272450539</v>
      </c>
      <c r="CD98">
        <f>AE98/AVERAGE(AZ98,BA98)</f>
        <v>0.10416666666666669</v>
      </c>
      <c r="CE98">
        <f>1.911*IF(AX98&lt;&gt;"NA", AVERAGE(AX98,AY98), AVERAGE(AZ98,BA98))</f>
        <v>973.23449524671787</v>
      </c>
      <c r="CF98">
        <v>15</v>
      </c>
      <c r="CG98" s="27">
        <f>(CF98/N98)/IF(AX98&lt;&gt;"NA", AX98,AY98)</f>
        <v>0.2857142857142857</v>
      </c>
      <c r="CH98">
        <f>CF98/N98</f>
        <v>169.76007243096421</v>
      </c>
    </row>
    <row r="99" spans="1:86" ht="17.7" customHeight="1" x14ac:dyDescent="0.3">
      <c r="A99">
        <v>98</v>
      </c>
      <c r="B99" s="20" t="s">
        <v>621</v>
      </c>
      <c r="C99" t="s">
        <v>134</v>
      </c>
      <c r="D99">
        <v>-2.2792430000000001</v>
      </c>
      <c r="E99">
        <v>28.897299</v>
      </c>
      <c r="F99">
        <v>1666</v>
      </c>
      <c r="G99" s="36" t="s">
        <v>319</v>
      </c>
      <c r="H99" s="38" t="s">
        <v>320</v>
      </c>
      <c r="I99">
        <v>50</v>
      </c>
      <c r="J99" t="s">
        <v>91</v>
      </c>
      <c r="K99" t="s">
        <v>420</v>
      </c>
      <c r="L99" t="s">
        <v>363</v>
      </c>
      <c r="M99">
        <f>15.7*9.5/10000</f>
        <v>1.4915000000000001E-2</v>
      </c>
      <c r="N99">
        <f t="shared" si="3"/>
        <v>1.4915000000000001E-2</v>
      </c>
      <c r="O99" t="s">
        <v>363</v>
      </c>
      <c r="P99" t="s">
        <v>344</v>
      </c>
      <c r="Q99">
        <v>70</v>
      </c>
      <c r="R99" s="19">
        <v>44607</v>
      </c>
      <c r="S99" s="19">
        <v>44972</v>
      </c>
      <c r="T99" t="s">
        <v>622</v>
      </c>
      <c r="U99" t="s">
        <v>623</v>
      </c>
      <c r="V99" t="s">
        <v>324</v>
      </c>
      <c r="W99">
        <v>20</v>
      </c>
      <c r="X99" t="s">
        <v>100</v>
      </c>
      <c r="Y99" t="s">
        <v>101</v>
      </c>
      <c r="Z99">
        <v>3</v>
      </c>
      <c r="AA99" t="s">
        <v>366</v>
      </c>
      <c r="AB99" t="s">
        <v>326</v>
      </c>
      <c r="AC99" t="s">
        <v>100</v>
      </c>
      <c r="AD99">
        <v>5</v>
      </c>
      <c r="AE99" s="24">
        <f t="shared" si="4"/>
        <v>478.90426703701922</v>
      </c>
      <c r="AF99" t="s">
        <v>96</v>
      </c>
      <c r="AG99" t="s">
        <v>101</v>
      </c>
      <c r="AH99" t="s">
        <v>563</v>
      </c>
      <c r="AI99" t="s">
        <v>586</v>
      </c>
      <c r="AJ99" t="s">
        <v>624</v>
      </c>
      <c r="AK99" t="s">
        <v>366</v>
      </c>
      <c r="AL99" t="s">
        <v>330</v>
      </c>
      <c r="AM99" t="s">
        <v>329</v>
      </c>
      <c r="AN99" t="s">
        <v>331</v>
      </c>
      <c r="AO99" s="25" t="s">
        <v>90</v>
      </c>
      <c r="AP99" t="s">
        <v>332</v>
      </c>
      <c r="AQ99" t="s">
        <v>332</v>
      </c>
      <c r="AR99" t="s">
        <v>346</v>
      </c>
      <c r="AS99" t="s">
        <v>100</v>
      </c>
      <c r="AT99" t="s">
        <v>625</v>
      </c>
      <c r="AU99" t="s">
        <v>626</v>
      </c>
      <c r="AV99" t="s">
        <v>335</v>
      </c>
      <c r="AW99" t="s">
        <v>336</v>
      </c>
      <c r="AX99" s="20" t="s">
        <v>90</v>
      </c>
      <c r="AY99" s="52">
        <f>(35/$M99)</f>
        <v>2346.6309084813943</v>
      </c>
      <c r="AZ99" s="51" t="s">
        <v>90</v>
      </c>
      <c r="BA99">
        <f>AY99+AY99*((100-Q99)/100)</f>
        <v>3050.6201810258126</v>
      </c>
      <c r="BB99" s="20">
        <f>(50/$M99)</f>
        <v>3352.3298692591347</v>
      </c>
      <c r="BC99">
        <f>BB99+(BB99*Q99)/(100-Q99)</f>
        <v>11174.432897530449</v>
      </c>
      <c r="BD99" t="s">
        <v>90</v>
      </c>
      <c r="BE99" t="s">
        <v>90</v>
      </c>
      <c r="BF99">
        <f>AY99/BA99+BB99/BC99</f>
        <v>1.0692307692307692</v>
      </c>
      <c r="BG99">
        <v>1700</v>
      </c>
      <c r="BH99" s="25" t="s">
        <v>90</v>
      </c>
      <c r="BI99" s="25" t="s">
        <v>90</v>
      </c>
      <c r="BJ99" t="s">
        <v>627</v>
      </c>
      <c r="BK99" t="s">
        <v>598</v>
      </c>
      <c r="BL99">
        <v>14</v>
      </c>
      <c r="BM99" t="s">
        <v>599</v>
      </c>
      <c r="BN99" t="s">
        <v>110</v>
      </c>
      <c r="BO99">
        <v>1</v>
      </c>
      <c r="BP99" t="s">
        <v>568</v>
      </c>
      <c r="BQ99" t="s">
        <v>569</v>
      </c>
      <c r="BR99">
        <v>5.46</v>
      </c>
      <c r="BS99" s="24">
        <v>0.14410000000000001</v>
      </c>
      <c r="BT99" s="26">
        <v>82.970344400000002</v>
      </c>
      <c r="BU99" s="26">
        <v>17.029638969000001</v>
      </c>
      <c r="BV99" s="26">
        <v>0</v>
      </c>
      <c r="BW99" s="26" t="s">
        <v>71</v>
      </c>
      <c r="BX99" s="26">
        <v>63</v>
      </c>
      <c r="BY99" s="26">
        <v>38.4</v>
      </c>
      <c r="BZ99" s="26">
        <v>106.6</v>
      </c>
      <c r="CA99" s="26">
        <v>145</v>
      </c>
      <c r="CB99">
        <f>IF(AZ99&lt;&gt;"NA",(10000/AZ99)*(125/365),(10000/BA99)*(125/365))</f>
        <v>1.122610266445883</v>
      </c>
      <c r="CC99">
        <f>IF(BA99&lt;&gt;"NA",(10000/BA99)*(125/365),(10000/AZ99)*(125/365))</f>
        <v>1.122610266445883</v>
      </c>
      <c r="CD99">
        <f>AE99/AVERAGE(AZ99,BA99)</f>
        <v>0.15698587127158556</v>
      </c>
      <c r="CE99">
        <f>1.911*IF(AX99&lt;&gt;"NA", AVERAGE(AX99,AY99), AVERAGE(AZ99,BA99))</f>
        <v>5829.7351659403275</v>
      </c>
      <c r="CF99">
        <v>0</v>
      </c>
      <c r="CG99" s="27">
        <f>(CF99/N99)/IF(AX99&lt;&gt;"NA", AX99,AY99)</f>
        <v>0</v>
      </c>
      <c r="CH99">
        <f>CF99/N99</f>
        <v>0</v>
      </c>
    </row>
    <row r="100" spans="1:86" ht="16.5" customHeight="1" x14ac:dyDescent="0.3">
      <c r="A100">
        <v>99</v>
      </c>
      <c r="B100" s="20" t="s">
        <v>628</v>
      </c>
      <c r="C100" t="s">
        <v>134</v>
      </c>
      <c r="D100">
        <v>-2.278953</v>
      </c>
      <c r="E100">
        <v>28.897544</v>
      </c>
      <c r="F100">
        <v>1663</v>
      </c>
      <c r="G100" s="36" t="s">
        <v>319</v>
      </c>
      <c r="H100" s="38" t="s">
        <v>320</v>
      </c>
      <c r="I100">
        <v>29</v>
      </c>
      <c r="J100" t="s">
        <v>91</v>
      </c>
      <c r="K100" t="s">
        <v>629</v>
      </c>
      <c r="L100" t="s">
        <v>363</v>
      </c>
      <c r="M100">
        <f>33*14.5/10000</f>
        <v>4.7849999999999997E-2</v>
      </c>
      <c r="N100">
        <f t="shared" si="3"/>
        <v>4.7849999999999997E-2</v>
      </c>
      <c r="O100" t="s">
        <v>363</v>
      </c>
      <c r="P100" t="s">
        <v>344</v>
      </c>
      <c r="Q100">
        <v>95</v>
      </c>
      <c r="R100" s="19">
        <v>44819</v>
      </c>
      <c r="S100" s="19">
        <v>44975</v>
      </c>
      <c r="T100" s="25" t="s">
        <v>90</v>
      </c>
      <c r="U100" s="25" t="s">
        <v>90</v>
      </c>
      <c r="V100" t="s">
        <v>324</v>
      </c>
      <c r="W100">
        <v>20</v>
      </c>
      <c r="X100" t="s">
        <v>100</v>
      </c>
      <c r="Y100" t="s">
        <v>101</v>
      </c>
      <c r="Z100">
        <v>2</v>
      </c>
      <c r="AA100" t="s">
        <v>630</v>
      </c>
      <c r="AB100" t="s">
        <v>326</v>
      </c>
      <c r="AC100" t="s">
        <v>100</v>
      </c>
      <c r="AD100">
        <v>4</v>
      </c>
      <c r="AE100" s="24">
        <f t="shared" si="4"/>
        <v>87.994280371775844</v>
      </c>
      <c r="AF100" t="s">
        <v>96</v>
      </c>
      <c r="AG100" t="s">
        <v>101</v>
      </c>
      <c r="AH100" t="s">
        <v>563</v>
      </c>
      <c r="AI100" t="s">
        <v>586</v>
      </c>
      <c r="AJ100" t="s">
        <v>595</v>
      </c>
      <c r="AK100" t="s">
        <v>366</v>
      </c>
      <c r="AL100" t="s">
        <v>330</v>
      </c>
      <c r="AM100">
        <v>1</v>
      </c>
      <c r="AN100" t="s">
        <v>331</v>
      </c>
      <c r="AO100" s="25" t="s">
        <v>90</v>
      </c>
      <c r="AP100" t="s">
        <v>424</v>
      </c>
      <c r="AQ100" t="s">
        <v>424</v>
      </c>
      <c r="AR100" t="s">
        <v>346</v>
      </c>
      <c r="AS100" t="s">
        <v>100</v>
      </c>
      <c r="AT100" s="25" t="s">
        <v>90</v>
      </c>
      <c r="AU100" t="s">
        <v>610</v>
      </c>
      <c r="AV100" t="s">
        <v>335</v>
      </c>
      <c r="AW100" t="s">
        <v>336</v>
      </c>
      <c r="AX100" s="20" t="s">
        <v>90</v>
      </c>
      <c r="AY100" s="52">
        <f>(50/$M100)</f>
        <v>1044.9320794148382</v>
      </c>
      <c r="AZ100" s="51" t="s">
        <v>90</v>
      </c>
      <c r="BA100">
        <f>AY100+AY100*((100-Q100)/100)</f>
        <v>1097.1786833855801</v>
      </c>
      <c r="BB100" s="20">
        <f>(30/$M100)</f>
        <v>626.95924764890287</v>
      </c>
      <c r="BC100">
        <f>BB100+(BB100*Q100)/(100-Q100)</f>
        <v>12539.184952978057</v>
      </c>
      <c r="BD100" t="s">
        <v>90</v>
      </c>
      <c r="BE100" t="s">
        <v>90</v>
      </c>
      <c r="BF100">
        <f>AY100/BA100+BB100/BC100</f>
        <v>1.0023809523809524</v>
      </c>
      <c r="BG100">
        <v>1700</v>
      </c>
      <c r="BH100" s="25" t="s">
        <v>90</v>
      </c>
      <c r="BI100" s="25" t="s">
        <v>90</v>
      </c>
      <c r="BJ100" t="s">
        <v>627</v>
      </c>
      <c r="BK100" t="s">
        <v>598</v>
      </c>
      <c r="BL100">
        <v>14</v>
      </c>
      <c r="BM100" t="s">
        <v>599</v>
      </c>
      <c r="BN100" t="s">
        <v>110</v>
      </c>
      <c r="BO100">
        <v>0</v>
      </c>
      <c r="BP100" s="24" t="s">
        <v>132</v>
      </c>
      <c r="BQ100" t="s">
        <v>371</v>
      </c>
      <c r="BR100">
        <v>5.65</v>
      </c>
      <c r="BS100" s="24">
        <v>0.21179999999999999</v>
      </c>
      <c r="BT100" s="26">
        <v>34.09131696</v>
      </c>
      <c r="BU100" s="26">
        <v>56.739829999999998</v>
      </c>
      <c r="BV100" s="26">
        <v>9.1688629899999992</v>
      </c>
      <c r="BW100" s="26" t="s">
        <v>453</v>
      </c>
      <c r="BX100" s="26">
        <v>63</v>
      </c>
      <c r="BY100" s="26">
        <v>93.81</v>
      </c>
      <c r="BZ100" s="26">
        <v>51.19</v>
      </c>
      <c r="CA100" s="26">
        <v>145</v>
      </c>
      <c r="CB100">
        <f>IF(AZ100&lt;&gt;"NA",(10000/AZ100)*(125/365),(10000/BA100)*(125/365))</f>
        <v>3.1213307240704493</v>
      </c>
      <c r="CC100">
        <f>IF(BA100&lt;&gt;"NA",(10000/BA100)*(125/365),(10000/AZ100)*(125/365))</f>
        <v>3.1213307240704493</v>
      </c>
      <c r="CD100">
        <f>AE100/AVERAGE(AZ100,BA100)</f>
        <v>8.0200501253132828E-2</v>
      </c>
      <c r="CE100">
        <f>1.911*IF(AX100&lt;&gt;"NA", AVERAGE(AX100,AY100), AVERAGE(AZ100,BA100))</f>
        <v>2096.7084639498435</v>
      </c>
      <c r="CF100">
        <v>0</v>
      </c>
      <c r="CG100" s="27">
        <f>(CF100/N100)/IF(AX100&lt;&gt;"NA", AX100,AY100)</f>
        <v>0</v>
      </c>
      <c r="CH100">
        <f>CF100/N100</f>
        <v>0</v>
      </c>
    </row>
    <row r="101" spans="1:86" ht="15.6" x14ac:dyDescent="0.3">
      <c r="A101">
        <v>100</v>
      </c>
      <c r="B101" s="20" t="s">
        <v>631</v>
      </c>
      <c r="C101" t="s">
        <v>87</v>
      </c>
      <c r="D101">
        <v>-2.2820469999999999</v>
      </c>
      <c r="E101">
        <v>28.884708</v>
      </c>
      <c r="F101">
        <v>1560</v>
      </c>
      <c r="G101" s="36" t="s">
        <v>319</v>
      </c>
      <c r="H101" s="38" t="s">
        <v>320</v>
      </c>
      <c r="I101">
        <v>24</v>
      </c>
      <c r="J101" t="s">
        <v>91</v>
      </c>
      <c r="K101" t="s">
        <v>632</v>
      </c>
      <c r="L101" t="s">
        <v>633</v>
      </c>
      <c r="M101">
        <f>70*62/10000</f>
        <v>0.434</v>
      </c>
      <c r="N101">
        <f t="shared" si="3"/>
        <v>0.434</v>
      </c>
      <c r="O101" t="s">
        <v>634</v>
      </c>
      <c r="P101" t="s">
        <v>344</v>
      </c>
      <c r="Q101">
        <v>50</v>
      </c>
      <c r="R101" s="19" t="s">
        <v>635</v>
      </c>
      <c r="S101" s="19">
        <v>44964</v>
      </c>
      <c r="T101" t="s">
        <v>632</v>
      </c>
      <c r="U101" t="s">
        <v>636</v>
      </c>
      <c r="V101" t="s">
        <v>324</v>
      </c>
      <c r="W101">
        <v>20</v>
      </c>
      <c r="X101" t="s">
        <v>100</v>
      </c>
      <c r="Y101" t="s">
        <v>101</v>
      </c>
      <c r="Z101">
        <v>1</v>
      </c>
      <c r="AA101" t="s">
        <v>366</v>
      </c>
      <c r="AB101" t="s">
        <v>637</v>
      </c>
      <c r="AC101" t="s">
        <v>100</v>
      </c>
      <c r="AD101">
        <v>15</v>
      </c>
      <c r="AE101" s="24">
        <f t="shared" si="4"/>
        <v>69.124423963133637</v>
      </c>
      <c r="AF101" t="s">
        <v>324</v>
      </c>
      <c r="AG101" t="s">
        <v>101</v>
      </c>
      <c r="AH101" t="s">
        <v>563</v>
      </c>
      <c r="AI101" t="s">
        <v>103</v>
      </c>
      <c r="AJ101" t="s">
        <v>638</v>
      </c>
      <c r="AK101" s="25" t="s">
        <v>90</v>
      </c>
      <c r="AL101" t="s">
        <v>330</v>
      </c>
      <c r="AM101">
        <v>1</v>
      </c>
      <c r="AN101" t="s">
        <v>331</v>
      </c>
      <c r="AO101" s="25" t="s">
        <v>90</v>
      </c>
      <c r="AP101" t="s">
        <v>639</v>
      </c>
      <c r="AQ101" t="s">
        <v>565</v>
      </c>
      <c r="AR101">
        <v>0</v>
      </c>
      <c r="AS101" t="s">
        <v>96</v>
      </c>
      <c r="AT101" t="s">
        <v>103</v>
      </c>
      <c r="AU101" t="s">
        <v>103</v>
      </c>
      <c r="AV101" t="s">
        <v>383</v>
      </c>
      <c r="AW101" t="s">
        <v>336</v>
      </c>
      <c r="AX101" s="20" t="s">
        <v>90</v>
      </c>
      <c r="AY101" s="52">
        <f>(250/$M101)</f>
        <v>576.036866359447</v>
      </c>
      <c r="AZ101" s="51" t="s">
        <v>90</v>
      </c>
      <c r="BA101">
        <f>AY101+AY101*((100-Q101)/100)</f>
        <v>864.05529953917051</v>
      </c>
      <c r="BB101" s="20">
        <f>(350/$M101)</f>
        <v>806.45161290322585</v>
      </c>
      <c r="BC101">
        <f>BB101+(BB101*Q101)/(100-Q101)</f>
        <v>1612.9032258064517</v>
      </c>
      <c r="BD101" s="20">
        <f>(250/$M101)</f>
        <v>576.036866359447</v>
      </c>
      <c r="BE101">
        <f>BD101+(BD101*Q101)/(100-Q101)</f>
        <v>1152.073732718894</v>
      </c>
      <c r="BF101">
        <f>AY101/BA101+BB101/BC101+BD101/BE101</f>
        <v>1.6666666666666665</v>
      </c>
      <c r="BG101">
        <v>2000</v>
      </c>
      <c r="BH101" s="25" t="s">
        <v>90</v>
      </c>
      <c r="BI101" s="25" t="s">
        <v>90</v>
      </c>
      <c r="BJ101" t="s">
        <v>566</v>
      </c>
      <c r="BK101" t="s">
        <v>567</v>
      </c>
      <c r="BL101">
        <v>14</v>
      </c>
      <c r="BM101" t="s">
        <v>640</v>
      </c>
      <c r="BN101" t="s">
        <v>110</v>
      </c>
      <c r="BO101">
        <v>1</v>
      </c>
      <c r="BP101" t="s">
        <v>568</v>
      </c>
      <c r="BQ101" t="s">
        <v>569</v>
      </c>
      <c r="BR101">
        <v>6.27</v>
      </c>
      <c r="BS101" s="24">
        <v>0.20430000000000001</v>
      </c>
      <c r="BT101" s="26">
        <v>68.151571000000004</v>
      </c>
      <c r="BU101" s="26">
        <v>24.181920999999999</v>
      </c>
      <c r="BV101" s="26">
        <v>7.6661089999999996</v>
      </c>
      <c r="BW101" s="26" t="s">
        <v>71</v>
      </c>
      <c r="BX101" s="26">
        <v>63</v>
      </c>
      <c r="BY101" s="26">
        <v>49.271999999999998</v>
      </c>
      <c r="BZ101" s="26">
        <v>95.728000000000009</v>
      </c>
      <c r="CA101" s="26">
        <v>145</v>
      </c>
      <c r="CB101">
        <f>IF(AZ101&lt;&gt;"NA",(10000/AZ101)*(125/365),(10000/BA101)*(125/365))</f>
        <v>3.9634703196347032</v>
      </c>
      <c r="CC101">
        <f>IF(BA101&lt;&gt;"NA",(10000/BA101)*(125/365),(10000/AZ101)*(125/365))</f>
        <v>3.9634703196347032</v>
      </c>
      <c r="CD101">
        <f>AE101/AVERAGE(AZ101,BA101)</f>
        <v>0.08</v>
      </c>
      <c r="CE101">
        <f>1.911*IF(AX101&lt;&gt;"NA", AVERAGE(AX101,AY101), AVERAGE(AZ101,BA101))</f>
        <v>1651.2096774193549</v>
      </c>
      <c r="CF101">
        <v>50</v>
      </c>
      <c r="CG101" s="27">
        <f>(CF101/N101)/IF(AX101&lt;&gt;"NA", AX101,AY101)</f>
        <v>0.19999999999999998</v>
      </c>
      <c r="CH101">
        <f>CF101/N101</f>
        <v>115.2073732718894</v>
      </c>
    </row>
    <row r="102" spans="1:86" ht="15.6" x14ac:dyDescent="0.3">
      <c r="A102">
        <v>101</v>
      </c>
      <c r="B102" s="20" t="s">
        <v>641</v>
      </c>
      <c r="C102" t="s">
        <v>87</v>
      </c>
      <c r="D102">
        <v>-2.2806649999999999</v>
      </c>
      <c r="E102">
        <v>28.888414000000001</v>
      </c>
      <c r="F102">
        <v>1586</v>
      </c>
      <c r="G102" s="36" t="s">
        <v>319</v>
      </c>
      <c r="H102" s="38" t="s">
        <v>320</v>
      </c>
      <c r="I102">
        <v>68</v>
      </c>
      <c r="J102" t="s">
        <v>91</v>
      </c>
      <c r="K102" t="s">
        <v>553</v>
      </c>
      <c r="L102" t="s">
        <v>642</v>
      </c>
      <c r="M102">
        <f>31*30/10000</f>
        <v>9.2999999999999999E-2</v>
      </c>
      <c r="N102">
        <f t="shared" si="3"/>
        <v>9.2999999999999999E-2</v>
      </c>
      <c r="O102" t="s">
        <v>643</v>
      </c>
      <c r="P102" t="s">
        <v>554</v>
      </c>
      <c r="Q102">
        <v>80</v>
      </c>
      <c r="R102" s="19">
        <v>44814</v>
      </c>
      <c r="S102" s="19">
        <v>44972</v>
      </c>
      <c r="T102" t="s">
        <v>644</v>
      </c>
      <c r="U102" t="s">
        <v>92</v>
      </c>
      <c r="V102" t="s">
        <v>324</v>
      </c>
      <c r="W102">
        <v>20</v>
      </c>
      <c r="X102" t="s">
        <v>100</v>
      </c>
      <c r="Y102" t="s">
        <v>101</v>
      </c>
      <c r="Z102">
        <v>2</v>
      </c>
      <c r="AA102" t="s">
        <v>366</v>
      </c>
      <c r="AB102" t="s">
        <v>326</v>
      </c>
      <c r="AC102" t="s">
        <v>100</v>
      </c>
      <c r="AD102">
        <v>7.5</v>
      </c>
      <c r="AE102" s="24">
        <f t="shared" si="4"/>
        <v>100.80645161290323</v>
      </c>
      <c r="AF102" t="s">
        <v>324</v>
      </c>
      <c r="AG102" t="s">
        <v>101</v>
      </c>
      <c r="AH102" t="s">
        <v>645</v>
      </c>
      <c r="AI102" t="s">
        <v>646</v>
      </c>
      <c r="AJ102" t="s">
        <v>595</v>
      </c>
      <c r="AK102" t="s">
        <v>366</v>
      </c>
      <c r="AL102" t="s">
        <v>330</v>
      </c>
      <c r="AM102">
        <v>1</v>
      </c>
      <c r="AN102" t="s">
        <v>331</v>
      </c>
      <c r="AO102" s="25" t="s">
        <v>90</v>
      </c>
      <c r="AP102" t="s">
        <v>647</v>
      </c>
      <c r="AQ102" t="s">
        <v>648</v>
      </c>
      <c r="AR102">
        <v>0</v>
      </c>
      <c r="AS102" t="s">
        <v>100</v>
      </c>
      <c r="AT102" t="s">
        <v>103</v>
      </c>
      <c r="AU102" t="s">
        <v>324</v>
      </c>
      <c r="AV102" t="s">
        <v>335</v>
      </c>
      <c r="AW102" t="s">
        <v>336</v>
      </c>
      <c r="AX102" s="20" t="s">
        <v>90</v>
      </c>
      <c r="AY102" s="52">
        <f>(105/$M102)</f>
        <v>1129.0322580645161</v>
      </c>
      <c r="AZ102" s="51" t="s">
        <v>90</v>
      </c>
      <c r="BA102">
        <f>AY102+AY102*((100-Q102)/100)</f>
        <v>1354.8387096774193</v>
      </c>
      <c r="BB102" s="20">
        <f>(300/$M102)</f>
        <v>3225.8064516129034</v>
      </c>
      <c r="BC102">
        <f>BB102+(BB102*Q102)/(100-Q102)</f>
        <v>16129.032258064517</v>
      </c>
      <c r="BD102" s="20" t="s">
        <v>90</v>
      </c>
      <c r="BE102" t="s">
        <v>90</v>
      </c>
      <c r="BF102">
        <f>AY102/BA102+BB102/BC102</f>
        <v>1.0333333333333334</v>
      </c>
      <c r="BG102">
        <v>2000</v>
      </c>
      <c r="BH102" s="25" t="s">
        <v>90</v>
      </c>
      <c r="BI102" t="s">
        <v>649</v>
      </c>
      <c r="BJ102" t="s">
        <v>382</v>
      </c>
      <c r="BK102" t="s">
        <v>598</v>
      </c>
      <c r="BL102">
        <v>14</v>
      </c>
      <c r="BM102" t="s">
        <v>599</v>
      </c>
      <c r="BN102" t="s">
        <v>110</v>
      </c>
      <c r="BO102">
        <v>1</v>
      </c>
      <c r="BP102" t="s">
        <v>568</v>
      </c>
      <c r="BQ102" t="s">
        <v>569</v>
      </c>
      <c r="BR102">
        <v>5.7341218352900203</v>
      </c>
      <c r="BS102" s="24">
        <v>0.20869254888061101</v>
      </c>
      <c r="BT102" s="26"/>
      <c r="BU102" s="26"/>
      <c r="BV102" s="26"/>
      <c r="BW102" s="26"/>
      <c r="BX102" s="26">
        <v>63</v>
      </c>
      <c r="BY102" s="26">
        <v>48</v>
      </c>
      <c r="BZ102" s="26">
        <v>97</v>
      </c>
      <c r="CA102" s="26">
        <v>145</v>
      </c>
      <c r="CB102">
        <f>IF(AZ102&lt;&gt;"NA",(10000/AZ102)*(125/365),(10000/BA102)*(125/365))</f>
        <v>2.5277234181343768</v>
      </c>
      <c r="CC102">
        <f>IF(BA102&lt;&gt;"NA",(10000/BA102)*(125/365),(10000/AZ102)*(125/365))</f>
        <v>2.5277234181343768</v>
      </c>
      <c r="CD102">
        <f>AE102/AVERAGE(AZ102,BA102)</f>
        <v>7.4404761904761918E-2</v>
      </c>
      <c r="CE102">
        <f>1.911*IF(AX102&lt;&gt;"NA", AVERAGE(AX102,AY102), AVERAGE(AZ102,BA102))</f>
        <v>2589.0967741935483</v>
      </c>
      <c r="CF102">
        <v>30</v>
      </c>
      <c r="CG102" s="27">
        <f>(CF102/N102)/IF(AX102&lt;&gt;"NA", AX102,AY102)</f>
        <v>0.2857142857142857</v>
      </c>
      <c r="CH102">
        <f>CF102/N102</f>
        <v>322.58064516129031</v>
      </c>
    </row>
    <row r="103" spans="1:86" ht="15.6" x14ac:dyDescent="0.3">
      <c r="A103">
        <v>102</v>
      </c>
      <c r="B103" s="20" t="s">
        <v>650</v>
      </c>
      <c r="C103" t="s">
        <v>134</v>
      </c>
      <c r="D103">
        <v>-2.2783289999999998</v>
      </c>
      <c r="E103">
        <v>28.889365999999999</v>
      </c>
      <c r="F103">
        <v>1566</v>
      </c>
      <c r="G103" s="36" t="s">
        <v>319</v>
      </c>
      <c r="H103" s="38" t="s">
        <v>320</v>
      </c>
      <c r="I103">
        <v>23</v>
      </c>
      <c r="J103" t="s">
        <v>91</v>
      </c>
      <c r="K103" t="s">
        <v>183</v>
      </c>
      <c r="L103" t="s">
        <v>651</v>
      </c>
      <c r="M103">
        <f>28.7*11.8/10000</f>
        <v>3.3866E-2</v>
      </c>
      <c r="N103">
        <f t="shared" si="3"/>
        <v>3.3866E-2</v>
      </c>
      <c r="O103" t="s">
        <v>510</v>
      </c>
      <c r="P103" t="s">
        <v>344</v>
      </c>
      <c r="Q103">
        <v>80</v>
      </c>
      <c r="R103" s="19">
        <v>44819</v>
      </c>
      <c r="S103" s="19">
        <v>44959</v>
      </c>
      <c r="T103" t="s">
        <v>415</v>
      </c>
      <c r="U103" t="s">
        <v>652</v>
      </c>
      <c r="V103" t="s">
        <v>324</v>
      </c>
      <c r="W103">
        <v>20</v>
      </c>
      <c r="X103" t="s">
        <v>100</v>
      </c>
      <c r="Y103" t="s">
        <v>101</v>
      </c>
      <c r="Z103">
        <v>1</v>
      </c>
      <c r="AA103" t="s">
        <v>366</v>
      </c>
      <c r="AB103" t="s">
        <v>637</v>
      </c>
      <c r="AC103" t="s">
        <v>100</v>
      </c>
      <c r="AD103">
        <v>3.75</v>
      </c>
      <c r="AE103" s="24">
        <f t="shared" si="4"/>
        <v>138.41315773932558</v>
      </c>
      <c r="AF103" t="s">
        <v>96</v>
      </c>
      <c r="AG103" t="s">
        <v>101</v>
      </c>
      <c r="AH103" t="s">
        <v>563</v>
      </c>
      <c r="AI103" t="s">
        <v>103</v>
      </c>
      <c r="AJ103" t="s">
        <v>653</v>
      </c>
      <c r="AK103" t="s">
        <v>366</v>
      </c>
      <c r="AL103" t="s">
        <v>654</v>
      </c>
      <c r="AM103">
        <v>1</v>
      </c>
      <c r="AN103" t="s">
        <v>331</v>
      </c>
      <c r="AO103" s="25" t="s">
        <v>90</v>
      </c>
      <c r="AP103" t="s">
        <v>376</v>
      </c>
      <c r="AQ103" t="s">
        <v>565</v>
      </c>
      <c r="AR103">
        <v>0</v>
      </c>
      <c r="AS103" t="s">
        <v>96</v>
      </c>
      <c r="AT103" t="s">
        <v>103</v>
      </c>
      <c r="AU103" t="s">
        <v>324</v>
      </c>
      <c r="AV103" t="s">
        <v>383</v>
      </c>
      <c r="AW103" t="s">
        <v>336</v>
      </c>
      <c r="AX103" s="20" t="s">
        <v>90</v>
      </c>
      <c r="AY103" s="52">
        <f>(50/$M103)</f>
        <v>1476.4070158861396</v>
      </c>
      <c r="AZ103" s="51" t="s">
        <v>90</v>
      </c>
      <c r="BA103">
        <f>AY103+AY103*((100-Q103)/100)</f>
        <v>1771.6884190633675</v>
      </c>
      <c r="BB103" s="20">
        <f>(30/$M103)</f>
        <v>885.84420953168365</v>
      </c>
      <c r="BC103">
        <f>BB103+(BB103*Q103)/(100-Q103)</f>
        <v>4429.2210476584187</v>
      </c>
      <c r="BD103" s="20">
        <f>(30/$M103)</f>
        <v>885.84420953168365</v>
      </c>
      <c r="BE103">
        <f>BD103+(BD103*Q103)/(100-Q103)</f>
        <v>4429.2210476584187</v>
      </c>
      <c r="BF103">
        <f>AY103/BA103+BB103/BC103</f>
        <v>1.0333333333333332</v>
      </c>
      <c r="BG103">
        <v>3000</v>
      </c>
      <c r="BH103" s="25" t="s">
        <v>90</v>
      </c>
      <c r="BI103" t="s">
        <v>655</v>
      </c>
      <c r="BJ103" t="s">
        <v>656</v>
      </c>
      <c r="BK103" t="s">
        <v>657</v>
      </c>
      <c r="BL103" s="25" t="s">
        <v>90</v>
      </c>
      <c r="BM103" t="s">
        <v>658</v>
      </c>
      <c r="BN103" t="s">
        <v>110</v>
      </c>
      <c r="BO103">
        <v>1</v>
      </c>
      <c r="BP103" t="s">
        <v>568</v>
      </c>
      <c r="BQ103" t="s">
        <v>569</v>
      </c>
      <c r="BR103">
        <v>5.7486084149505299</v>
      </c>
      <c r="BS103" s="24">
        <v>0.21679072035719299</v>
      </c>
      <c r="BT103" s="26"/>
      <c r="BU103" s="26"/>
      <c r="BV103" s="26"/>
      <c r="BW103" s="26"/>
      <c r="BX103" s="26">
        <v>63</v>
      </c>
      <c r="BY103" s="26">
        <v>57.812039999999996</v>
      </c>
      <c r="BZ103" s="26">
        <v>87.187960000000004</v>
      </c>
      <c r="CA103" s="26">
        <v>145</v>
      </c>
      <c r="CB103">
        <f>IF(AZ103&lt;&gt;"NA",(10000/AZ103)*(125/365),(10000/BA103)*(125/365))</f>
        <v>1.9329908675799083</v>
      </c>
      <c r="CC103">
        <f>IF(BA103&lt;&gt;"NA",(10000/BA103)*(125/365),(10000/AZ103)*(125/365))</f>
        <v>1.9329908675799083</v>
      </c>
      <c r="CD103">
        <f>AE103/AVERAGE(AZ103,BA103)</f>
        <v>7.8125E-2</v>
      </c>
      <c r="CE103">
        <f>1.911*IF(AX103&lt;&gt;"NA", AVERAGE(AX103,AY103), AVERAGE(AZ103,BA103))</f>
        <v>3385.6965688300952</v>
      </c>
      <c r="CF103">
        <v>15</v>
      </c>
      <c r="CG103" s="27">
        <f>(CF103/N103)/IF(AX103&lt;&gt;"NA", AX103,AY103)</f>
        <v>0.3</v>
      </c>
      <c r="CH103">
        <f>CF103/N103</f>
        <v>442.92210476584182</v>
      </c>
    </row>
    <row r="104" spans="1:86" ht="15.6" x14ac:dyDescent="0.3">
      <c r="A104">
        <v>103</v>
      </c>
      <c r="B104" s="20" t="s">
        <v>659</v>
      </c>
      <c r="C104" t="s">
        <v>134</v>
      </c>
      <c r="D104">
        <v>-2.278362</v>
      </c>
      <c r="E104">
        <v>28.894379000000001</v>
      </c>
      <c r="F104">
        <v>1617</v>
      </c>
      <c r="G104" s="36" t="s">
        <v>319</v>
      </c>
      <c r="H104" s="38" t="s">
        <v>320</v>
      </c>
      <c r="I104">
        <v>47</v>
      </c>
      <c r="J104" t="s">
        <v>115</v>
      </c>
      <c r="K104" t="s">
        <v>660</v>
      </c>
      <c r="L104" t="s">
        <v>661</v>
      </c>
      <c r="M104">
        <f>23.6*22.8/10000</f>
        <v>5.3808000000000002E-2</v>
      </c>
      <c r="N104">
        <f t="shared" si="3"/>
        <v>5.3808000000000002E-2</v>
      </c>
      <c r="O104" t="s">
        <v>661</v>
      </c>
      <c r="P104" t="s">
        <v>344</v>
      </c>
      <c r="Q104">
        <v>60</v>
      </c>
      <c r="R104" s="19">
        <v>44824</v>
      </c>
      <c r="S104" s="19">
        <v>44977</v>
      </c>
      <c r="T104" t="s">
        <v>415</v>
      </c>
      <c r="U104" t="s">
        <v>467</v>
      </c>
      <c r="V104" t="s">
        <v>324</v>
      </c>
      <c r="W104">
        <v>20</v>
      </c>
      <c r="X104" t="s">
        <v>100</v>
      </c>
      <c r="Y104" t="s">
        <v>101</v>
      </c>
      <c r="Z104">
        <v>2</v>
      </c>
      <c r="AA104" t="s">
        <v>366</v>
      </c>
      <c r="AB104" t="s">
        <v>326</v>
      </c>
      <c r="AC104" t="s">
        <v>100</v>
      </c>
      <c r="AD104">
        <v>7.5</v>
      </c>
      <c r="AE104" s="24">
        <f t="shared" si="4"/>
        <v>232.30746357418968</v>
      </c>
      <c r="AF104" t="s">
        <v>96</v>
      </c>
      <c r="AG104" t="s">
        <v>101</v>
      </c>
      <c r="AH104" t="s">
        <v>563</v>
      </c>
      <c r="AI104" t="s">
        <v>586</v>
      </c>
      <c r="AJ104" t="s">
        <v>595</v>
      </c>
      <c r="AK104" t="s">
        <v>366</v>
      </c>
      <c r="AL104" t="s">
        <v>330</v>
      </c>
      <c r="AM104">
        <v>2</v>
      </c>
      <c r="AN104" t="s">
        <v>331</v>
      </c>
      <c r="AO104" s="25" t="s">
        <v>90</v>
      </c>
      <c r="AP104" t="s">
        <v>376</v>
      </c>
      <c r="AQ104" t="s">
        <v>565</v>
      </c>
      <c r="AR104">
        <v>10</v>
      </c>
      <c r="AS104" t="s">
        <v>100</v>
      </c>
      <c r="AT104" t="s">
        <v>103</v>
      </c>
      <c r="AU104" t="s">
        <v>324</v>
      </c>
      <c r="AV104" t="s">
        <v>335</v>
      </c>
      <c r="AW104" t="s">
        <v>336</v>
      </c>
      <c r="AX104" s="20" t="s">
        <v>90</v>
      </c>
      <c r="AY104" s="52">
        <f>(100/$M104)</f>
        <v>1858.4597085935177</v>
      </c>
      <c r="AZ104" s="51" t="s">
        <v>90</v>
      </c>
      <c r="BA104">
        <f>AY104+AY104*((100-Q104)/100)</f>
        <v>2601.8435920309248</v>
      </c>
      <c r="BB104" s="20">
        <f>(22.5/$M104)</f>
        <v>418.15343443354146</v>
      </c>
      <c r="BC104">
        <f>BB104+(BB104*Q104)/(100-Q104)</f>
        <v>1045.3835860838537</v>
      </c>
      <c r="BD104" s="20">
        <f>(48/$M104)</f>
        <v>892.0606601248885</v>
      </c>
      <c r="BE104">
        <f>BD104+(BD104*Q104)/(100-Q104)</f>
        <v>2230.1516503122211</v>
      </c>
      <c r="BF104">
        <f>AY104/BA104+BB104/BC104</f>
        <v>1.1142857142857143</v>
      </c>
      <c r="BG104">
        <v>1700</v>
      </c>
      <c r="BH104" s="25" t="s">
        <v>90</v>
      </c>
      <c r="BI104" t="s">
        <v>662</v>
      </c>
      <c r="BJ104" t="s">
        <v>382</v>
      </c>
      <c r="BK104" t="s">
        <v>598</v>
      </c>
      <c r="BL104">
        <v>14</v>
      </c>
      <c r="BM104" t="s">
        <v>599</v>
      </c>
      <c r="BN104" t="s">
        <v>110</v>
      </c>
      <c r="BO104">
        <v>1</v>
      </c>
      <c r="BP104" t="s">
        <v>568</v>
      </c>
      <c r="BQ104" t="s">
        <v>569</v>
      </c>
      <c r="BR104">
        <v>5.86</v>
      </c>
      <c r="BS104" s="24">
        <v>0.23630000000000001</v>
      </c>
      <c r="BT104" s="26">
        <v>76.597304899999997</v>
      </c>
      <c r="BU104" s="26">
        <v>23.402704199999999</v>
      </c>
      <c r="BV104" s="26">
        <v>0</v>
      </c>
      <c r="BW104" s="26" t="s">
        <v>71</v>
      </c>
      <c r="BX104" s="26">
        <v>63</v>
      </c>
      <c r="BY104" s="26">
        <v>79.703999999999994</v>
      </c>
      <c r="BZ104" s="26">
        <v>65.296000000000006</v>
      </c>
      <c r="CA104" s="26">
        <v>145</v>
      </c>
      <c r="CB104">
        <f>IF(AZ104&lt;&gt;"NA",(10000/AZ104)*(125/365),(10000/BA104)*(125/365))</f>
        <v>1.3162426614481408</v>
      </c>
      <c r="CC104">
        <f>IF(BA104&lt;&gt;"NA",(10000/BA104)*(125/365),(10000/AZ104)*(125/365))</f>
        <v>1.3162426614481408</v>
      </c>
      <c r="CD104">
        <f>AE104/AVERAGE(AZ104,BA104)</f>
        <v>8.9285714285714274E-2</v>
      </c>
      <c r="CE104">
        <f>1.911*IF(AX104&lt;&gt;"NA", AVERAGE(AX104,AY104), AVERAGE(AZ104,BA104))</f>
        <v>4972.1231043710977</v>
      </c>
      <c r="CF104">
        <v>20</v>
      </c>
      <c r="CG104" s="27">
        <f>(CF104/N104)/IF(AX104&lt;&gt;"NA", AX104,AY104)</f>
        <v>0.19999999999999998</v>
      </c>
      <c r="CH104">
        <f>CF104/N104</f>
        <v>371.6919417187035</v>
      </c>
    </row>
    <row r="105" spans="1:86" ht="15.6" x14ac:dyDescent="0.3">
      <c r="A105">
        <v>104</v>
      </c>
      <c r="B105" s="20" t="s">
        <v>663</v>
      </c>
      <c r="C105" t="s">
        <v>134</v>
      </c>
      <c r="D105">
        <v>-2.2542849999999999</v>
      </c>
      <c r="E105">
        <v>28.863516000000001</v>
      </c>
      <c r="F105">
        <v>1568</v>
      </c>
      <c r="G105" s="36" t="s">
        <v>319</v>
      </c>
      <c r="H105" s="38" t="s">
        <v>320</v>
      </c>
      <c r="I105">
        <v>53</v>
      </c>
      <c r="J105" t="s">
        <v>91</v>
      </c>
      <c r="K105" t="s">
        <v>664</v>
      </c>
      <c r="L105" t="s">
        <v>665</v>
      </c>
      <c r="M105">
        <f>41*29/10000</f>
        <v>0.11890000000000001</v>
      </c>
      <c r="N105">
        <f t="shared" si="3"/>
        <v>0.11890000000000001</v>
      </c>
      <c r="O105" t="s">
        <v>445</v>
      </c>
      <c r="P105" t="s">
        <v>308</v>
      </c>
      <c r="Q105">
        <v>50</v>
      </c>
      <c r="R105" s="19">
        <v>44809</v>
      </c>
      <c r="S105" s="19">
        <v>44977</v>
      </c>
      <c r="T105" t="s">
        <v>664</v>
      </c>
      <c r="U105" t="s">
        <v>666</v>
      </c>
      <c r="V105" t="s">
        <v>324</v>
      </c>
      <c r="W105">
        <v>20</v>
      </c>
      <c r="X105" t="s">
        <v>100</v>
      </c>
      <c r="Y105" t="s">
        <v>101</v>
      </c>
      <c r="Z105">
        <v>1</v>
      </c>
      <c r="AA105" t="s">
        <v>366</v>
      </c>
      <c r="AB105" t="s">
        <v>637</v>
      </c>
      <c r="AC105" t="s">
        <v>100</v>
      </c>
      <c r="AD105">
        <v>3</v>
      </c>
      <c r="AE105" s="24">
        <f t="shared" si="4"/>
        <v>50.462573591253154</v>
      </c>
      <c r="AF105" t="s">
        <v>96</v>
      </c>
      <c r="AG105" t="s">
        <v>101</v>
      </c>
      <c r="AH105" t="s">
        <v>563</v>
      </c>
      <c r="AI105" t="s">
        <v>103</v>
      </c>
      <c r="AJ105" t="s">
        <v>667</v>
      </c>
      <c r="AK105" t="s">
        <v>668</v>
      </c>
      <c r="AL105" t="s">
        <v>669</v>
      </c>
      <c r="AM105">
        <v>1</v>
      </c>
      <c r="AN105" t="s">
        <v>331</v>
      </c>
      <c r="AO105" s="25" t="s">
        <v>90</v>
      </c>
      <c r="AP105" t="s">
        <v>481</v>
      </c>
      <c r="AQ105" t="s">
        <v>565</v>
      </c>
      <c r="AR105">
        <v>0</v>
      </c>
      <c r="AS105" t="s">
        <v>96</v>
      </c>
      <c r="AT105" t="s">
        <v>103</v>
      </c>
      <c r="AU105" t="s">
        <v>103</v>
      </c>
      <c r="AV105" t="s">
        <v>383</v>
      </c>
      <c r="AW105" t="s">
        <v>336</v>
      </c>
      <c r="AX105" s="20" t="s">
        <v>90</v>
      </c>
      <c r="AY105" s="52">
        <f>(50/$M105)</f>
        <v>420.52144659377626</v>
      </c>
      <c r="AZ105" s="51" t="s">
        <v>90</v>
      </c>
      <c r="BA105">
        <f>AY105+AY105*((100-Q105)/100)</f>
        <v>630.78216989066436</v>
      </c>
      <c r="BB105">
        <f>(500/$M105)</f>
        <v>4205.2144659377627</v>
      </c>
      <c r="BC105">
        <f>BB105+(BB105*Q105)/(100-Q105)</f>
        <v>8410.4289318755254</v>
      </c>
      <c r="BD105">
        <f>(80/$M105)</f>
        <v>672.834314550042</v>
      </c>
      <c r="BE105">
        <f>BD105+(BD105*Q105)/(100-Q105)</f>
        <v>1345.668629100084</v>
      </c>
      <c r="BF105">
        <f>AY105/BA105+BB105/BC105</f>
        <v>1.1666666666666667</v>
      </c>
      <c r="BG105">
        <v>2500</v>
      </c>
      <c r="BH105" s="25" t="s">
        <v>90</v>
      </c>
      <c r="BI105" t="s">
        <v>670</v>
      </c>
      <c r="BJ105" t="s">
        <v>671</v>
      </c>
      <c r="BK105" t="s">
        <v>383</v>
      </c>
      <c r="BL105" s="25" t="s">
        <v>90</v>
      </c>
      <c r="BM105" t="s">
        <v>384</v>
      </c>
      <c r="BN105" t="s">
        <v>110</v>
      </c>
      <c r="BO105">
        <v>1</v>
      </c>
      <c r="BP105" t="s">
        <v>568</v>
      </c>
      <c r="BQ105" t="s">
        <v>569</v>
      </c>
      <c r="BR105">
        <v>6.21</v>
      </c>
      <c r="BS105" s="24">
        <v>0.3049</v>
      </c>
      <c r="BT105" s="26">
        <v>84.970344400000002</v>
      </c>
      <c r="BU105" s="26">
        <v>15.029638969000001</v>
      </c>
      <c r="BV105" s="26">
        <v>0</v>
      </c>
      <c r="BW105" s="26" t="s">
        <v>71</v>
      </c>
      <c r="BX105" s="26">
        <v>63</v>
      </c>
      <c r="BY105" s="26">
        <v>122.39999999999998</v>
      </c>
      <c r="BZ105" s="26">
        <v>22.600000000000023</v>
      </c>
      <c r="CA105" s="26">
        <v>145</v>
      </c>
      <c r="CB105">
        <f>IF(AZ105&lt;&gt;"NA",(10000/AZ105)*(125/365),(10000/BA105)*(125/365))</f>
        <v>5.429223744292238</v>
      </c>
      <c r="CC105">
        <f>IF(BA105&lt;&gt;"NA",(10000/BA105)*(125/365),(10000/AZ105)*(125/365))</f>
        <v>5.429223744292238</v>
      </c>
      <c r="CD105">
        <f>AE105/AVERAGE(AZ105,BA105)</f>
        <v>0.08</v>
      </c>
      <c r="CE105">
        <f>1.911*IF(AX105&lt;&gt;"NA", AVERAGE(AX105,AY105), AVERAGE(AZ105,BA105))</f>
        <v>1205.4247266610596</v>
      </c>
      <c r="CF105">
        <v>50</v>
      </c>
      <c r="CG105" s="27">
        <f>(CF105/N105)/IF(AX105&lt;&gt;"NA", AX105,AY105)</f>
        <v>1</v>
      </c>
      <c r="CH105">
        <f>CF105/N105</f>
        <v>420.52144659377626</v>
      </c>
    </row>
    <row r="106" spans="1:86" ht="15.6" x14ac:dyDescent="0.3">
      <c r="A106">
        <v>105</v>
      </c>
      <c r="B106" s="20" t="s">
        <v>672</v>
      </c>
      <c r="C106" t="s">
        <v>134</v>
      </c>
      <c r="D106">
        <v>-2.2533110000000001</v>
      </c>
      <c r="E106">
        <v>28.862722000000002</v>
      </c>
      <c r="F106">
        <v>1578</v>
      </c>
      <c r="G106" s="36" t="s">
        <v>319</v>
      </c>
      <c r="H106" s="38" t="s">
        <v>320</v>
      </c>
      <c r="I106">
        <v>48</v>
      </c>
      <c r="J106" t="s">
        <v>115</v>
      </c>
      <c r="K106" t="s">
        <v>673</v>
      </c>
      <c r="L106" t="s">
        <v>674</v>
      </c>
      <c r="M106">
        <f>50*20/10000</f>
        <v>0.1</v>
      </c>
      <c r="N106">
        <f t="shared" si="3"/>
        <v>0.1</v>
      </c>
      <c r="O106" t="s">
        <v>675</v>
      </c>
      <c r="P106" t="s">
        <v>344</v>
      </c>
      <c r="Q106">
        <v>20</v>
      </c>
      <c r="R106" s="19">
        <v>44809</v>
      </c>
      <c r="S106" s="19">
        <v>44972</v>
      </c>
      <c r="T106" t="s">
        <v>676</v>
      </c>
      <c r="U106" s="25" t="s">
        <v>90</v>
      </c>
      <c r="V106" t="s">
        <v>324</v>
      </c>
      <c r="W106">
        <v>20</v>
      </c>
      <c r="X106" t="s">
        <v>100</v>
      </c>
      <c r="Y106" t="s">
        <v>101</v>
      </c>
      <c r="Z106">
        <v>1</v>
      </c>
      <c r="AA106" t="s">
        <v>366</v>
      </c>
      <c r="AB106" t="s">
        <v>637</v>
      </c>
      <c r="AC106" t="s">
        <v>100</v>
      </c>
      <c r="AD106">
        <v>9</v>
      </c>
      <c r="AE106" s="24">
        <f t="shared" si="4"/>
        <v>450</v>
      </c>
      <c r="AF106" t="s">
        <v>96</v>
      </c>
      <c r="AG106" t="s">
        <v>101</v>
      </c>
      <c r="AH106" t="s">
        <v>677</v>
      </c>
      <c r="AI106" t="s">
        <v>103</v>
      </c>
      <c r="AJ106" t="s">
        <v>678</v>
      </c>
      <c r="AK106" t="s">
        <v>366</v>
      </c>
      <c r="AL106" t="s">
        <v>330</v>
      </c>
      <c r="AM106">
        <v>1</v>
      </c>
      <c r="AN106" t="s">
        <v>331</v>
      </c>
      <c r="AO106" s="25" t="s">
        <v>90</v>
      </c>
      <c r="AP106" t="s">
        <v>376</v>
      </c>
      <c r="AQ106" t="s">
        <v>565</v>
      </c>
      <c r="AR106">
        <v>0</v>
      </c>
      <c r="AS106" t="s">
        <v>96</v>
      </c>
      <c r="AT106" t="s">
        <v>103</v>
      </c>
      <c r="AU106" t="s">
        <v>679</v>
      </c>
      <c r="AV106" t="s">
        <v>383</v>
      </c>
      <c r="AW106" t="s">
        <v>680</v>
      </c>
      <c r="AX106" s="20" t="s">
        <v>90</v>
      </c>
      <c r="AY106" s="52">
        <f>(70/$M106)</f>
        <v>700</v>
      </c>
      <c r="AZ106" s="51" t="s">
        <v>90</v>
      </c>
      <c r="BA106">
        <f>AY106+AY106*((100-Q106)/100)</f>
        <v>1260</v>
      </c>
      <c r="BB106">
        <f>(100/$M106)</f>
        <v>1000</v>
      </c>
      <c r="BC106">
        <f>BB106+(BB106*Q106)/(100-Q106)</f>
        <v>1250</v>
      </c>
      <c r="BD106">
        <f>(70/$M106)</f>
        <v>700</v>
      </c>
      <c r="BE106">
        <f>BD106+(BD106*Q106)/(100-Q106)</f>
        <v>875</v>
      </c>
      <c r="BF106">
        <f>AY106/BA106+BB106/BC106</f>
        <v>1.3555555555555556</v>
      </c>
      <c r="BG106">
        <v>1700</v>
      </c>
      <c r="BH106" s="25" t="s">
        <v>90</v>
      </c>
      <c r="BI106" t="s">
        <v>681</v>
      </c>
      <c r="BJ106" t="s">
        <v>671</v>
      </c>
      <c r="BK106" t="s">
        <v>383</v>
      </c>
      <c r="BL106" s="25" t="s">
        <v>90</v>
      </c>
      <c r="BM106" t="s">
        <v>384</v>
      </c>
      <c r="BN106" t="s">
        <v>110</v>
      </c>
      <c r="BO106">
        <v>0</v>
      </c>
      <c r="BP106" s="24" t="s">
        <v>132</v>
      </c>
      <c r="BQ106" t="s">
        <v>371</v>
      </c>
      <c r="BR106">
        <v>5.7068427711284704</v>
      </c>
      <c r="BS106" s="24">
        <v>0.188767412637877</v>
      </c>
      <c r="BT106" s="26"/>
      <c r="BU106" s="26"/>
      <c r="BV106" s="26"/>
      <c r="BW106" s="26"/>
      <c r="BX106" s="26">
        <v>63</v>
      </c>
      <c r="BY106" s="26">
        <v>52.675474589847362</v>
      </c>
      <c r="BZ106" s="26">
        <v>92.324525410152631</v>
      </c>
      <c r="CA106" s="26">
        <v>145</v>
      </c>
      <c r="CB106">
        <f>IF(AZ106&lt;&gt;"NA",(10000/AZ106)*(125/365),(10000/BA106)*(125/365))</f>
        <v>2.7179821700369646</v>
      </c>
      <c r="CC106">
        <f>IF(BA106&lt;&gt;"NA",(10000/BA106)*(125/365),(10000/AZ106)*(125/365))</f>
        <v>2.7179821700369646</v>
      </c>
      <c r="CD106">
        <f>AE106/AVERAGE(AZ106,BA106)</f>
        <v>0.35714285714285715</v>
      </c>
      <c r="CE106">
        <f>1.911*IF(AX106&lt;&gt;"NA", AVERAGE(AX106,AY106), AVERAGE(AZ106,BA106))</f>
        <v>2407.86</v>
      </c>
      <c r="CF106">
        <v>40</v>
      </c>
      <c r="CG106" s="27">
        <f>(CF106/N106)/IF(AX106&lt;&gt;"NA", AX106,AY106)</f>
        <v>0.5714285714285714</v>
      </c>
      <c r="CH106">
        <f>CF106/N106</f>
        <v>400</v>
      </c>
    </row>
    <row r="107" spans="1:86" ht="15.6" x14ac:dyDescent="0.3">
      <c r="A107">
        <v>106</v>
      </c>
      <c r="B107" s="20" t="s">
        <v>682</v>
      </c>
      <c r="C107" t="s">
        <v>87</v>
      </c>
      <c r="D107">
        <v>-2.2686299999999999</v>
      </c>
      <c r="E107">
        <v>28.873812999999998</v>
      </c>
      <c r="F107">
        <v>1486</v>
      </c>
      <c r="G107" s="36" t="s">
        <v>319</v>
      </c>
      <c r="H107" s="38" t="s">
        <v>320</v>
      </c>
      <c r="I107">
        <v>67</v>
      </c>
      <c r="J107" t="s">
        <v>91</v>
      </c>
      <c r="K107" t="s">
        <v>450</v>
      </c>
      <c r="L107" t="s">
        <v>683</v>
      </c>
      <c r="M107">
        <f>27*7/10000</f>
        <v>1.89E-2</v>
      </c>
      <c r="N107">
        <f t="shared" si="3"/>
        <v>1.89E-2</v>
      </c>
      <c r="O107" t="s">
        <v>450</v>
      </c>
      <c r="P107" t="s">
        <v>344</v>
      </c>
      <c r="Q107">
        <v>80</v>
      </c>
      <c r="R107" s="19">
        <v>44809</v>
      </c>
      <c r="S107" s="19">
        <v>44972</v>
      </c>
      <c r="T107" s="25" t="s">
        <v>90</v>
      </c>
      <c r="U107" t="s">
        <v>684</v>
      </c>
      <c r="V107" t="s">
        <v>324</v>
      </c>
      <c r="W107">
        <v>20</v>
      </c>
      <c r="X107" t="s">
        <v>100</v>
      </c>
      <c r="Y107" t="s">
        <v>101</v>
      </c>
      <c r="Z107">
        <v>1</v>
      </c>
      <c r="AA107" t="s">
        <v>685</v>
      </c>
      <c r="AB107" t="s">
        <v>326</v>
      </c>
      <c r="AC107" s="25" t="s">
        <v>90</v>
      </c>
      <c r="AD107">
        <v>2.5</v>
      </c>
      <c r="AE107" s="24">
        <f t="shared" si="4"/>
        <v>165.34391534391534</v>
      </c>
      <c r="AF107" t="s">
        <v>96</v>
      </c>
      <c r="AG107" t="s">
        <v>101</v>
      </c>
      <c r="AH107" t="s">
        <v>563</v>
      </c>
      <c r="AI107" t="s">
        <v>586</v>
      </c>
      <c r="AJ107" t="s">
        <v>686</v>
      </c>
      <c r="AK107" t="s">
        <v>366</v>
      </c>
      <c r="AL107" t="s">
        <v>330</v>
      </c>
      <c r="AM107">
        <v>1</v>
      </c>
      <c r="AN107" t="s">
        <v>331</v>
      </c>
      <c r="AO107" s="25" t="s">
        <v>90</v>
      </c>
      <c r="AP107" t="s">
        <v>332</v>
      </c>
      <c r="AQ107" t="s">
        <v>332</v>
      </c>
      <c r="AR107" t="s">
        <v>687</v>
      </c>
      <c r="AS107" t="s">
        <v>324</v>
      </c>
      <c r="AT107" t="s">
        <v>565</v>
      </c>
      <c r="AU107" t="s">
        <v>688</v>
      </c>
      <c r="AV107" t="s">
        <v>335</v>
      </c>
      <c r="AW107" t="s">
        <v>336</v>
      </c>
      <c r="AX107" s="20" t="s">
        <v>90</v>
      </c>
      <c r="AY107" s="52">
        <f>(18/$M107)</f>
        <v>952.38095238095241</v>
      </c>
      <c r="AZ107" s="51" t="s">
        <v>90</v>
      </c>
      <c r="BA107">
        <f>AY107+AY107*((100-Q107)/100)</f>
        <v>1142.8571428571429</v>
      </c>
      <c r="BB107" s="20" t="s">
        <v>90</v>
      </c>
      <c r="BC107" t="s">
        <v>90</v>
      </c>
      <c r="BD107" t="s">
        <v>90</v>
      </c>
      <c r="BE107" t="s">
        <v>90</v>
      </c>
      <c r="BF107" t="s">
        <v>90</v>
      </c>
      <c r="BG107" s="25" t="s">
        <v>90</v>
      </c>
      <c r="BH107" s="25" t="s">
        <v>90</v>
      </c>
      <c r="BI107" s="25" t="s">
        <v>90</v>
      </c>
      <c r="BJ107" t="s">
        <v>671</v>
      </c>
      <c r="BK107" t="s">
        <v>598</v>
      </c>
      <c r="BL107">
        <v>14</v>
      </c>
      <c r="BM107" t="s">
        <v>599</v>
      </c>
      <c r="BN107" t="s">
        <v>110</v>
      </c>
      <c r="BO107">
        <v>1</v>
      </c>
      <c r="BP107" t="s">
        <v>568</v>
      </c>
      <c r="BQ107" t="s">
        <v>569</v>
      </c>
      <c r="BR107">
        <v>6.52</v>
      </c>
      <c r="BS107" s="24">
        <v>0.15340000000000001</v>
      </c>
      <c r="BT107" s="26">
        <v>35.896099999999997</v>
      </c>
      <c r="BU107" s="26">
        <v>50.797015999999999</v>
      </c>
      <c r="BV107" s="26">
        <v>13.306846910000001</v>
      </c>
      <c r="BW107" s="26" t="s">
        <v>453</v>
      </c>
      <c r="BX107" s="26">
        <v>63</v>
      </c>
      <c r="BY107" s="26">
        <v>55.943999999999996</v>
      </c>
      <c r="BZ107" s="26">
        <v>89.056000000000012</v>
      </c>
      <c r="CA107" s="26">
        <v>145</v>
      </c>
      <c r="CB107">
        <f>IF(AZ107&lt;&gt;"NA",(10000/AZ107)*(125/365),(10000/BA107)*(125/365))</f>
        <v>2.9965753424657531</v>
      </c>
      <c r="CC107">
        <f>IF(BA107&lt;&gt;"NA",(10000/BA107)*(125/365),(10000/AZ107)*(125/365))</f>
        <v>2.9965753424657531</v>
      </c>
      <c r="CD107">
        <f>AE107/AVERAGE(AZ107,BA107)</f>
        <v>0.14467592592592593</v>
      </c>
      <c r="CE107">
        <f>1.911*IF(AX107&lt;&gt;"NA", AVERAGE(AX107,AY107), AVERAGE(AZ107,BA107))</f>
        <v>2184</v>
      </c>
      <c r="CF107">
        <v>8</v>
      </c>
      <c r="CG107" s="27">
        <f>(CF107/N107)/IF(AX107&lt;&gt;"NA", AX107,AY107)</f>
        <v>0.44444444444444442</v>
      </c>
      <c r="CH107">
        <f>CF107/N107</f>
        <v>423.28042328042329</v>
      </c>
    </row>
    <row r="108" spans="1:86" ht="15.6" x14ac:dyDescent="0.3">
      <c r="A108">
        <v>107</v>
      </c>
      <c r="B108" s="20" t="s">
        <v>689</v>
      </c>
      <c r="C108" t="s">
        <v>134</v>
      </c>
      <c r="D108">
        <v>-2.2701750000000001</v>
      </c>
      <c r="E108">
        <v>28.875447999999999</v>
      </c>
      <c r="F108">
        <v>1482</v>
      </c>
      <c r="G108" s="36" t="s">
        <v>319</v>
      </c>
      <c r="H108" s="38" t="s">
        <v>320</v>
      </c>
      <c r="I108">
        <v>43</v>
      </c>
      <c r="J108" t="s">
        <v>91</v>
      </c>
      <c r="K108" t="s">
        <v>415</v>
      </c>
      <c r="L108" t="s">
        <v>92</v>
      </c>
      <c r="M108">
        <f>37.5*8/10000</f>
        <v>0.03</v>
      </c>
      <c r="N108">
        <f t="shared" si="3"/>
        <v>0.03</v>
      </c>
      <c r="O108" t="s">
        <v>92</v>
      </c>
      <c r="P108" t="s">
        <v>344</v>
      </c>
      <c r="Q108">
        <v>100</v>
      </c>
      <c r="R108" s="19">
        <v>44809</v>
      </c>
      <c r="S108" s="19">
        <v>44962</v>
      </c>
      <c r="T108" t="s">
        <v>415</v>
      </c>
      <c r="U108" t="s">
        <v>604</v>
      </c>
      <c r="V108" t="s">
        <v>324</v>
      </c>
      <c r="W108">
        <v>20</v>
      </c>
      <c r="X108" t="s">
        <v>100</v>
      </c>
      <c r="Y108" t="s">
        <v>101</v>
      </c>
      <c r="Z108">
        <v>1</v>
      </c>
      <c r="AA108" t="s">
        <v>366</v>
      </c>
      <c r="AB108" t="s">
        <v>543</v>
      </c>
      <c r="AC108" s="25" t="s">
        <v>90</v>
      </c>
      <c r="AD108">
        <v>3</v>
      </c>
      <c r="AE108" s="24">
        <f t="shared" si="4"/>
        <v>100</v>
      </c>
      <c r="AF108" t="s">
        <v>96</v>
      </c>
      <c r="AG108" t="s">
        <v>101</v>
      </c>
      <c r="AH108" t="s">
        <v>563</v>
      </c>
      <c r="AI108" s="25" t="s">
        <v>90</v>
      </c>
      <c r="AJ108" t="s">
        <v>690</v>
      </c>
      <c r="AK108" t="s">
        <v>366</v>
      </c>
      <c r="AL108" t="s">
        <v>330</v>
      </c>
      <c r="AM108">
        <v>1</v>
      </c>
      <c r="AN108" t="s">
        <v>331</v>
      </c>
      <c r="AO108" s="25" t="s">
        <v>90</v>
      </c>
      <c r="AP108" t="s">
        <v>332</v>
      </c>
      <c r="AQ108" t="s">
        <v>332</v>
      </c>
      <c r="AR108">
        <v>30</v>
      </c>
      <c r="AS108" t="s">
        <v>100</v>
      </c>
      <c r="AT108" t="s">
        <v>691</v>
      </c>
      <c r="AU108" t="s">
        <v>610</v>
      </c>
      <c r="AV108" t="s">
        <v>335</v>
      </c>
      <c r="AW108" t="s">
        <v>336</v>
      </c>
      <c r="AX108" s="20" t="s">
        <v>90</v>
      </c>
      <c r="AY108" s="52">
        <f>(30/$M108)</f>
        <v>1000</v>
      </c>
      <c r="AZ108" s="51" t="s">
        <v>90</v>
      </c>
      <c r="BA108">
        <f>AY108+AY108*((100-Q108)/100)</f>
        <v>1000</v>
      </c>
      <c r="BB108" t="s">
        <v>90</v>
      </c>
      <c r="BC108" t="s">
        <v>90</v>
      </c>
      <c r="BD108" t="s">
        <v>90</v>
      </c>
      <c r="BE108" t="s">
        <v>90</v>
      </c>
      <c r="BF108">
        <v>1</v>
      </c>
      <c r="BG108">
        <v>1600</v>
      </c>
      <c r="BH108" s="25" t="s">
        <v>90</v>
      </c>
      <c r="BI108" s="25" t="s">
        <v>90</v>
      </c>
      <c r="BJ108" t="s">
        <v>382</v>
      </c>
      <c r="BK108" t="s">
        <v>598</v>
      </c>
      <c r="BL108">
        <v>14</v>
      </c>
      <c r="BM108" t="s">
        <v>599</v>
      </c>
      <c r="BN108" t="s">
        <v>110</v>
      </c>
      <c r="BO108">
        <v>0</v>
      </c>
      <c r="BP108" s="24" t="s">
        <v>132</v>
      </c>
      <c r="BQ108" t="s">
        <v>371</v>
      </c>
      <c r="BR108">
        <v>7</v>
      </c>
      <c r="BS108" s="24">
        <v>0.19789999999999999</v>
      </c>
      <c r="BT108" s="26">
        <v>48.516605599999998</v>
      </c>
      <c r="BU108" s="26">
        <v>39.252654999999997</v>
      </c>
      <c r="BV108" s="26">
        <v>12.2307173</v>
      </c>
      <c r="BW108" s="26" t="s">
        <v>71</v>
      </c>
      <c r="BX108" s="26">
        <v>63</v>
      </c>
      <c r="BY108" s="26">
        <v>61.391999999999996</v>
      </c>
      <c r="BZ108" s="26">
        <v>83.608000000000004</v>
      </c>
      <c r="CA108" s="26">
        <v>145</v>
      </c>
      <c r="CB108">
        <f>IF(AZ108&lt;&gt;"NA",(10000/AZ108)*(125/365),(10000/BA108)*(125/365))</f>
        <v>3.4246575342465753</v>
      </c>
      <c r="CC108">
        <f>IF(BA108&lt;&gt;"NA",(10000/BA108)*(125/365),(10000/AZ108)*(125/365))</f>
        <v>3.4246575342465753</v>
      </c>
      <c r="CD108">
        <f>AE108/AVERAGE(AZ108,BA108)</f>
        <v>0.1</v>
      </c>
      <c r="CE108">
        <f>1.911*IF(AX108&lt;&gt;"NA", AVERAGE(AX108,AY108), AVERAGE(AZ108,BA108))</f>
        <v>1911</v>
      </c>
      <c r="CF108">
        <v>30</v>
      </c>
      <c r="CG108" s="27">
        <f>(CF108/N108)/IF(AX108&lt;&gt;"NA", AX108,AY108)</f>
        <v>1</v>
      </c>
      <c r="CH108">
        <f>CF108/N108</f>
        <v>1000</v>
      </c>
    </row>
    <row r="109" spans="1:86" ht="15.6" x14ac:dyDescent="0.3">
      <c r="A109">
        <v>108</v>
      </c>
      <c r="B109" s="20" t="s">
        <v>692</v>
      </c>
      <c r="C109" t="s">
        <v>87</v>
      </c>
      <c r="D109">
        <v>-2.282483</v>
      </c>
      <c r="E109">
        <v>28.887236000000001</v>
      </c>
      <c r="F109">
        <v>1583</v>
      </c>
      <c r="G109" s="36" t="s">
        <v>319</v>
      </c>
      <c r="H109" s="38" t="s">
        <v>320</v>
      </c>
      <c r="I109">
        <v>39</v>
      </c>
      <c r="J109" t="s">
        <v>91</v>
      </c>
      <c r="K109" t="s">
        <v>474</v>
      </c>
      <c r="L109" t="s">
        <v>363</v>
      </c>
      <c r="M109">
        <f>40*16/10000</f>
        <v>6.4000000000000001E-2</v>
      </c>
      <c r="N109">
        <f t="shared" si="3"/>
        <v>6.4000000000000001E-2</v>
      </c>
      <c r="O109" t="s">
        <v>363</v>
      </c>
      <c r="P109" t="s">
        <v>344</v>
      </c>
      <c r="Q109">
        <v>60</v>
      </c>
      <c r="R109" s="19">
        <v>44824</v>
      </c>
      <c r="S109" s="19">
        <v>44962</v>
      </c>
      <c r="T109" t="s">
        <v>415</v>
      </c>
      <c r="U109" t="s">
        <v>92</v>
      </c>
      <c r="V109" t="s">
        <v>324</v>
      </c>
      <c r="W109">
        <v>20</v>
      </c>
      <c r="X109" t="s">
        <v>100</v>
      </c>
      <c r="Y109" t="s">
        <v>101</v>
      </c>
      <c r="Z109">
        <v>2</v>
      </c>
      <c r="AA109" t="s">
        <v>366</v>
      </c>
      <c r="AB109" t="s">
        <v>693</v>
      </c>
      <c r="AC109" s="25" t="s">
        <v>90</v>
      </c>
      <c r="AD109">
        <v>3.75</v>
      </c>
      <c r="AE109" s="24">
        <f t="shared" si="4"/>
        <v>97.656250000000014</v>
      </c>
      <c r="AF109" t="s">
        <v>324</v>
      </c>
      <c r="AG109" t="s">
        <v>101</v>
      </c>
      <c r="AH109" t="s">
        <v>563</v>
      </c>
      <c r="AI109" t="s">
        <v>586</v>
      </c>
      <c r="AJ109" t="s">
        <v>694</v>
      </c>
      <c r="AK109" t="s">
        <v>366</v>
      </c>
      <c r="AL109" t="s">
        <v>330</v>
      </c>
      <c r="AM109">
        <v>2</v>
      </c>
      <c r="AN109" t="s">
        <v>331</v>
      </c>
      <c r="AO109" s="25" t="s">
        <v>90</v>
      </c>
      <c r="AP109" t="s">
        <v>424</v>
      </c>
      <c r="AQ109" t="s">
        <v>424</v>
      </c>
      <c r="AR109" t="s">
        <v>96</v>
      </c>
      <c r="AS109" t="s">
        <v>100</v>
      </c>
      <c r="AT109" t="s">
        <v>695</v>
      </c>
      <c r="AU109" t="s">
        <v>610</v>
      </c>
      <c r="AV109" t="s">
        <v>335</v>
      </c>
      <c r="AW109" t="s">
        <v>336</v>
      </c>
      <c r="AX109" s="20" t="s">
        <v>90</v>
      </c>
      <c r="AY109" s="52">
        <f>(37.5/$M109)</f>
        <v>585.9375</v>
      </c>
      <c r="AZ109" s="51" t="s">
        <v>90</v>
      </c>
      <c r="BA109">
        <f>AY109+AY109*((100-Q109)/100)</f>
        <v>820.3125</v>
      </c>
      <c r="BB109" s="20">
        <f>(65/$M109)</f>
        <v>1015.625</v>
      </c>
      <c r="BC109">
        <f>BB109+(BB109*Q109)/(100-Q109)</f>
        <v>2539.0625</v>
      </c>
      <c r="BD109">
        <f>(45/$M109)</f>
        <v>703.125</v>
      </c>
      <c r="BE109">
        <f>BD109+(BD109*Q109)/(100-Q109)</f>
        <v>1757.8125</v>
      </c>
      <c r="BF109">
        <f>AY109/BA109+BB109/BC109</f>
        <v>1.1142857142857143</v>
      </c>
      <c r="BG109">
        <v>1700</v>
      </c>
      <c r="BH109" s="25" t="s">
        <v>90</v>
      </c>
      <c r="BI109" s="25" t="s">
        <v>90</v>
      </c>
      <c r="BJ109" t="s">
        <v>382</v>
      </c>
      <c r="BK109" t="s">
        <v>598</v>
      </c>
      <c r="BL109">
        <v>14</v>
      </c>
      <c r="BM109" t="s">
        <v>599</v>
      </c>
      <c r="BN109" t="s">
        <v>110</v>
      </c>
      <c r="BO109">
        <v>0</v>
      </c>
      <c r="BP109" s="24" t="s">
        <v>132</v>
      </c>
      <c r="BQ109" t="s">
        <v>371</v>
      </c>
      <c r="BR109">
        <v>5.32</v>
      </c>
      <c r="BS109" s="24">
        <v>0.30349999999999999</v>
      </c>
      <c r="BT109" s="26">
        <v>39.481399340000003</v>
      </c>
      <c r="BU109" s="26">
        <v>60.518611399999998</v>
      </c>
      <c r="BV109" s="26">
        <v>0</v>
      </c>
      <c r="BW109" s="26" t="s">
        <v>453</v>
      </c>
      <c r="BX109" s="26">
        <v>63</v>
      </c>
      <c r="BY109" s="26">
        <v>77.231999999999999</v>
      </c>
      <c r="BZ109" s="26">
        <v>67.768000000000001</v>
      </c>
      <c r="CA109" s="26">
        <v>145</v>
      </c>
      <c r="CB109">
        <f>IF(AZ109&lt;&gt;"NA",(10000/AZ109)*(125/365),(10000/BA109)*(125/365))</f>
        <v>4.1748206131767773</v>
      </c>
      <c r="CC109">
        <f>IF(BA109&lt;&gt;"NA",(10000/BA109)*(125/365),(10000/AZ109)*(125/365))</f>
        <v>4.1748206131767773</v>
      </c>
      <c r="CD109">
        <f>AE109/AVERAGE(AZ109,BA109)</f>
        <v>0.11904761904761907</v>
      </c>
      <c r="CE109">
        <f>1.911*IF(AX109&lt;&gt;"NA", AVERAGE(AX109,AY109), AVERAGE(AZ109,BA109))</f>
        <v>1567.6171875</v>
      </c>
      <c r="CF109">
        <v>0</v>
      </c>
      <c r="CG109" s="27">
        <f>(CF109/N109)/IF(AX109&lt;&gt;"NA", AX109,AY109)</f>
        <v>0</v>
      </c>
      <c r="CH109">
        <f>CF109/N109</f>
        <v>0</v>
      </c>
    </row>
    <row r="110" spans="1:86" ht="15.6" x14ac:dyDescent="0.3">
      <c r="A110">
        <v>109</v>
      </c>
      <c r="B110" s="20" t="s">
        <v>696</v>
      </c>
      <c r="C110" t="s">
        <v>134</v>
      </c>
      <c r="D110">
        <v>-2.2825579999999999</v>
      </c>
      <c r="E110">
        <v>28.887073999999998</v>
      </c>
      <c r="F110">
        <v>1580</v>
      </c>
      <c r="G110" s="36" t="s">
        <v>319</v>
      </c>
      <c r="H110" s="38" t="s">
        <v>320</v>
      </c>
      <c r="I110">
        <v>72</v>
      </c>
      <c r="J110" t="s">
        <v>91</v>
      </c>
      <c r="K110" t="s">
        <v>697</v>
      </c>
      <c r="L110" t="s">
        <v>698</v>
      </c>
      <c r="M110">
        <f>41*18/10000</f>
        <v>7.3800000000000004E-2</v>
      </c>
      <c r="N110">
        <f t="shared" si="3"/>
        <v>7.3800000000000004E-2</v>
      </c>
      <c r="O110" t="s">
        <v>699</v>
      </c>
      <c r="P110" t="s">
        <v>344</v>
      </c>
      <c r="Q110">
        <v>75</v>
      </c>
      <c r="R110" s="25" t="s">
        <v>90</v>
      </c>
      <c r="S110" s="19">
        <v>44972</v>
      </c>
      <c r="T110" t="s">
        <v>415</v>
      </c>
      <c r="U110" t="s">
        <v>422</v>
      </c>
      <c r="V110" t="s">
        <v>324</v>
      </c>
      <c r="W110">
        <v>20</v>
      </c>
      <c r="X110" t="s">
        <v>100</v>
      </c>
      <c r="Y110" t="s">
        <v>101</v>
      </c>
      <c r="Z110">
        <v>1</v>
      </c>
      <c r="AA110" t="s">
        <v>630</v>
      </c>
      <c r="AB110" t="s">
        <v>326</v>
      </c>
      <c r="AC110" s="25" t="s">
        <v>90</v>
      </c>
      <c r="AD110">
        <v>7.5</v>
      </c>
      <c r="AE110" s="24">
        <f t="shared" si="4"/>
        <v>135.50135501355012</v>
      </c>
      <c r="AF110" t="s">
        <v>96</v>
      </c>
      <c r="AG110" t="s">
        <v>101</v>
      </c>
      <c r="AH110" t="s">
        <v>563</v>
      </c>
      <c r="AI110" t="s">
        <v>586</v>
      </c>
      <c r="AJ110" t="s">
        <v>595</v>
      </c>
      <c r="AK110" t="s">
        <v>366</v>
      </c>
      <c r="AL110" t="s">
        <v>330</v>
      </c>
      <c r="AM110">
        <v>1</v>
      </c>
      <c r="AN110" t="s">
        <v>331</v>
      </c>
      <c r="AO110" s="25" t="s">
        <v>90</v>
      </c>
      <c r="AP110" t="s">
        <v>424</v>
      </c>
      <c r="AQ110" t="s">
        <v>424</v>
      </c>
      <c r="AR110" t="s">
        <v>96</v>
      </c>
      <c r="AS110" t="s">
        <v>100</v>
      </c>
      <c r="AT110" t="s">
        <v>700</v>
      </c>
      <c r="AU110" t="s">
        <v>416</v>
      </c>
      <c r="AV110" t="s">
        <v>335</v>
      </c>
      <c r="AW110" t="s">
        <v>336</v>
      </c>
      <c r="AX110" s="20" t="s">
        <v>90</v>
      </c>
      <c r="AY110" s="52">
        <f>(100/$M110)</f>
        <v>1355.0135501355012</v>
      </c>
      <c r="AZ110" s="51" t="s">
        <v>90</v>
      </c>
      <c r="BA110">
        <f>AY110+AY110*((100-Q110)/100)</f>
        <v>1693.7669376693766</v>
      </c>
      <c r="BB110" s="20" t="s">
        <v>90</v>
      </c>
      <c r="BC110" t="s">
        <v>90</v>
      </c>
      <c r="BD110" t="s">
        <v>90</v>
      </c>
      <c r="BE110" t="s">
        <v>90</v>
      </c>
      <c r="BF110" t="s">
        <v>90</v>
      </c>
      <c r="BG110">
        <v>1700</v>
      </c>
      <c r="BH110" s="25" t="s">
        <v>90</v>
      </c>
      <c r="BI110" s="25" t="s">
        <v>90</v>
      </c>
      <c r="BJ110" t="s">
        <v>701</v>
      </c>
      <c r="BK110" t="s">
        <v>598</v>
      </c>
      <c r="BL110">
        <v>14</v>
      </c>
      <c r="BM110" t="s">
        <v>599</v>
      </c>
      <c r="BN110" t="s">
        <v>110</v>
      </c>
      <c r="BO110">
        <v>1</v>
      </c>
      <c r="BP110" t="s">
        <v>568</v>
      </c>
      <c r="BQ110" t="s">
        <v>569</v>
      </c>
      <c r="BR110">
        <v>5.49</v>
      </c>
      <c r="BS110" s="24">
        <v>0.2122</v>
      </c>
      <c r="BT110" s="26">
        <v>74.179162509999998</v>
      </c>
      <c r="BU110" s="26">
        <v>23.8163895</v>
      </c>
      <c r="BV110" s="26">
        <v>2.0045874000000001</v>
      </c>
      <c r="BW110" s="26" t="s">
        <v>71</v>
      </c>
      <c r="BX110" s="26">
        <v>63</v>
      </c>
      <c r="BY110" s="26">
        <v>51.575999999999993</v>
      </c>
      <c r="BZ110" s="26">
        <v>93.424000000000007</v>
      </c>
      <c r="CA110" s="26">
        <v>145</v>
      </c>
      <c r="CB110">
        <f>IF(AZ110&lt;&gt;"NA",(10000/AZ110)*(125/365),(10000/BA110)*(125/365))</f>
        <v>2.021917808219178</v>
      </c>
      <c r="CC110">
        <f>IF(BA110&lt;&gt;"NA",(10000/BA110)*(125/365),(10000/AZ110)*(125/365))</f>
        <v>2.021917808219178</v>
      </c>
      <c r="CD110">
        <f>AE110/AVERAGE(AZ110,BA110)</f>
        <v>0.08</v>
      </c>
      <c r="CE110">
        <f>1.911*IF(AX110&lt;&gt;"NA", AVERAGE(AX110,AY110), AVERAGE(AZ110,BA110))</f>
        <v>3236.7886178861786</v>
      </c>
      <c r="CF110">
        <v>20</v>
      </c>
      <c r="CG110" s="27">
        <f>(CF110/N110)/IF(AX110&lt;&gt;"NA", AX110,AY110)</f>
        <v>0.2</v>
      </c>
      <c r="CH110">
        <f>CF110/N110</f>
        <v>271.00271002710025</v>
      </c>
    </row>
    <row r="111" spans="1:86" ht="15.6" x14ac:dyDescent="0.3">
      <c r="A111">
        <v>110</v>
      </c>
      <c r="B111" s="20" t="s">
        <v>702</v>
      </c>
      <c r="C111" t="s">
        <v>134</v>
      </c>
      <c r="D111">
        <v>-2.2771699999999999</v>
      </c>
      <c r="E111">
        <v>28.894904</v>
      </c>
      <c r="F111">
        <v>1601</v>
      </c>
      <c r="G111" s="36" t="s">
        <v>319</v>
      </c>
      <c r="H111" s="38" t="s">
        <v>320</v>
      </c>
      <c r="I111">
        <v>60</v>
      </c>
      <c r="J111" t="s">
        <v>91</v>
      </c>
      <c r="K111" t="s">
        <v>450</v>
      </c>
      <c r="L111" t="s">
        <v>703</v>
      </c>
      <c r="M111">
        <f>19*13/10000</f>
        <v>2.47E-2</v>
      </c>
      <c r="N111">
        <f t="shared" si="3"/>
        <v>2.47E-2</v>
      </c>
      <c r="O111" t="s">
        <v>704</v>
      </c>
      <c r="P111" t="s">
        <v>322</v>
      </c>
      <c r="Q111">
        <v>80</v>
      </c>
      <c r="R111" s="25" t="s">
        <v>90</v>
      </c>
      <c r="S111" s="19">
        <v>44972</v>
      </c>
      <c r="T111" t="s">
        <v>415</v>
      </c>
      <c r="U111" t="s">
        <v>421</v>
      </c>
      <c r="V111" t="s">
        <v>324</v>
      </c>
      <c r="W111">
        <v>20</v>
      </c>
      <c r="X111" t="s">
        <v>100</v>
      </c>
      <c r="Y111" t="s">
        <v>101</v>
      </c>
      <c r="Z111">
        <v>1</v>
      </c>
      <c r="AA111" t="s">
        <v>705</v>
      </c>
      <c r="AB111" t="s">
        <v>543</v>
      </c>
      <c r="AC111" s="25" t="s">
        <v>90</v>
      </c>
      <c r="AD111">
        <v>1.5</v>
      </c>
      <c r="AE111" s="24">
        <f t="shared" si="4"/>
        <v>75.910931174089072</v>
      </c>
      <c r="AF111" t="s">
        <v>96</v>
      </c>
      <c r="AG111" t="s">
        <v>101</v>
      </c>
      <c r="AH111" t="s">
        <v>563</v>
      </c>
      <c r="AI111" t="s">
        <v>433</v>
      </c>
      <c r="AJ111" t="s">
        <v>706</v>
      </c>
      <c r="AK111" t="s">
        <v>366</v>
      </c>
      <c r="AL111" t="s">
        <v>330</v>
      </c>
      <c r="AM111" t="s">
        <v>329</v>
      </c>
      <c r="AN111" t="s">
        <v>331</v>
      </c>
      <c r="AO111" s="25" t="s">
        <v>90</v>
      </c>
      <c r="AP111" t="s">
        <v>332</v>
      </c>
      <c r="AQ111" t="s">
        <v>332</v>
      </c>
      <c r="AR111">
        <v>15</v>
      </c>
      <c r="AS111" t="s">
        <v>324</v>
      </c>
      <c r="AT111" t="s">
        <v>707</v>
      </c>
      <c r="AU111" t="s">
        <v>416</v>
      </c>
      <c r="AV111" t="s">
        <v>335</v>
      </c>
      <c r="AW111" t="s">
        <v>708</v>
      </c>
      <c r="AX111" s="20">
        <f>(30/$M111)</f>
        <v>1214.5748987854251</v>
      </c>
      <c r="AY111" s="52">
        <f>(15/$M111)</f>
        <v>607.28744939271257</v>
      </c>
      <c r="AZ111" s="51">
        <f>AX111+AX111*((100-Q111)/100)</f>
        <v>1457.4898785425103</v>
      </c>
      <c r="BA111">
        <f>AY111+AY111*((100-Q111)/100)</f>
        <v>728.74493927125513</v>
      </c>
      <c r="BB111" s="20" t="s">
        <v>90</v>
      </c>
      <c r="BC111" t="s">
        <v>90</v>
      </c>
      <c r="BD111" t="s">
        <v>90</v>
      </c>
      <c r="BE111" t="s">
        <v>90</v>
      </c>
      <c r="BF111">
        <f>AX111/AZ111+AY111/BA111</f>
        <v>1.6666666666666665</v>
      </c>
      <c r="BG111">
        <v>1700</v>
      </c>
      <c r="BH111" s="25" t="s">
        <v>90</v>
      </c>
      <c r="BI111" t="s">
        <v>709</v>
      </c>
      <c r="BJ111" t="s">
        <v>710</v>
      </c>
      <c r="BK111" t="s">
        <v>598</v>
      </c>
      <c r="BL111">
        <v>14</v>
      </c>
      <c r="BM111" t="s">
        <v>599</v>
      </c>
      <c r="BN111" t="s">
        <v>110</v>
      </c>
      <c r="BO111">
        <v>0</v>
      </c>
      <c r="BP111" s="24" t="s">
        <v>132</v>
      </c>
      <c r="BQ111" t="s">
        <v>371</v>
      </c>
      <c r="BR111">
        <v>5.22</v>
      </c>
      <c r="BS111" s="24">
        <v>0.20530000000000001</v>
      </c>
      <c r="BT111" s="26">
        <v>47.516605599999998</v>
      </c>
      <c r="BU111" s="26">
        <v>40.252654999999997</v>
      </c>
      <c r="BV111" s="26">
        <v>12.2307173</v>
      </c>
      <c r="BW111" s="26" t="s">
        <v>71</v>
      </c>
      <c r="BX111" s="26">
        <v>63</v>
      </c>
      <c r="BY111" s="26">
        <v>35.903999999999996</v>
      </c>
      <c r="BZ111" s="26">
        <v>109.096</v>
      </c>
      <c r="CA111" s="26">
        <v>145</v>
      </c>
      <c r="CB111">
        <f>IF(AZ111&lt;&gt;"NA",(10000/AZ111)*(125/365),(10000/BA111)*(125/365))</f>
        <v>2.3496955859969555</v>
      </c>
      <c r="CC111">
        <f>IF(BA111&lt;&gt;"NA",(10000/BA111)*(125/365),(10000/AZ111)*(125/365))</f>
        <v>4.699391171993911</v>
      </c>
      <c r="CD111">
        <f>AE111/AVERAGE(AZ111,BA111)</f>
        <v>6.9444444444444434E-2</v>
      </c>
      <c r="CE111">
        <f>1.911*IF(AX111&lt;&gt;"NA", AVERAGE(AX111,AY111), AVERAGE(AZ111,BA111))</f>
        <v>1740.7894736842106</v>
      </c>
      <c r="CF111">
        <v>0</v>
      </c>
      <c r="CG111" s="27">
        <f>(CF111/N111)/IF(AX111&lt;&gt;"NA", AX111,AY111)</f>
        <v>0</v>
      </c>
      <c r="CH111">
        <f>CF111/N111</f>
        <v>0</v>
      </c>
    </row>
    <row r="112" spans="1:86" ht="15.6" x14ac:dyDescent="0.3">
      <c r="A112">
        <v>111</v>
      </c>
      <c r="B112" s="20" t="s">
        <v>711</v>
      </c>
      <c r="C112" t="s">
        <v>87</v>
      </c>
      <c r="D112">
        <v>-2.2758980000000002</v>
      </c>
      <c r="E112">
        <v>28.893597</v>
      </c>
      <c r="F112">
        <v>1559</v>
      </c>
      <c r="G112" s="36" t="s">
        <v>319</v>
      </c>
      <c r="H112" s="38" t="s">
        <v>320</v>
      </c>
      <c r="I112">
        <v>30</v>
      </c>
      <c r="J112" t="s">
        <v>91</v>
      </c>
      <c r="K112" t="s">
        <v>363</v>
      </c>
      <c r="L112" t="s">
        <v>712</v>
      </c>
      <c r="M112">
        <f>39*28/10000</f>
        <v>0.10920000000000001</v>
      </c>
      <c r="N112">
        <f t="shared" si="3"/>
        <v>0.10920000000000001</v>
      </c>
      <c r="O112" t="s">
        <v>712</v>
      </c>
      <c r="P112" t="s">
        <v>93</v>
      </c>
      <c r="Q112">
        <v>70</v>
      </c>
      <c r="R112" s="19">
        <v>44826</v>
      </c>
      <c r="S112" s="19">
        <v>44973</v>
      </c>
      <c r="T112" t="s">
        <v>92</v>
      </c>
      <c r="U112" t="s">
        <v>92</v>
      </c>
      <c r="V112" t="s">
        <v>324</v>
      </c>
      <c r="W112">
        <v>20</v>
      </c>
      <c r="X112" t="s">
        <v>100</v>
      </c>
      <c r="Y112" t="s">
        <v>101</v>
      </c>
      <c r="Z112">
        <v>1</v>
      </c>
      <c r="AA112" t="s">
        <v>713</v>
      </c>
      <c r="AB112" t="s">
        <v>326</v>
      </c>
      <c r="AC112" s="25" t="s">
        <v>90</v>
      </c>
      <c r="AD112">
        <v>15</v>
      </c>
      <c r="AE112" s="24">
        <f t="shared" si="4"/>
        <v>196.23233908948194</v>
      </c>
      <c r="AF112" t="s">
        <v>96</v>
      </c>
      <c r="AG112" t="s">
        <v>101</v>
      </c>
      <c r="AH112" t="s">
        <v>563</v>
      </c>
      <c r="AI112" t="s">
        <v>433</v>
      </c>
      <c r="AJ112" t="s">
        <v>706</v>
      </c>
      <c r="AK112" t="s">
        <v>366</v>
      </c>
      <c r="AL112" t="s">
        <v>330</v>
      </c>
      <c r="AM112">
        <v>1</v>
      </c>
      <c r="AN112" t="s">
        <v>331</v>
      </c>
      <c r="AO112" s="25" t="s">
        <v>90</v>
      </c>
      <c r="AP112" t="s">
        <v>332</v>
      </c>
      <c r="AQ112" t="s">
        <v>332</v>
      </c>
      <c r="AR112" t="s">
        <v>96</v>
      </c>
      <c r="AS112" t="s">
        <v>100</v>
      </c>
      <c r="AT112" t="s">
        <v>714</v>
      </c>
      <c r="AU112" t="s">
        <v>416</v>
      </c>
      <c r="AV112" t="s">
        <v>335</v>
      </c>
      <c r="AW112" t="s">
        <v>336</v>
      </c>
      <c r="AX112" s="20">
        <f>(150/$M112)</f>
        <v>1373.6263736263736</v>
      </c>
      <c r="AY112" s="52">
        <f>(60/$M112)</f>
        <v>549.45054945054937</v>
      </c>
      <c r="AZ112" s="51">
        <f>AX112+AX112*((100-Q112)/100)</f>
        <v>1785.7142857142858</v>
      </c>
      <c r="BA112">
        <f>AY112+AY112*((100-Q112)/100)</f>
        <v>714.28571428571422</v>
      </c>
      <c r="BB112" s="20">
        <f>(100/$M112)</f>
        <v>915.75091575091574</v>
      </c>
      <c r="BC112">
        <f>BB112+(BB112*Q112)/(100-Q112)</f>
        <v>3052.5030525030525</v>
      </c>
      <c r="BD112" t="s">
        <v>90</v>
      </c>
      <c r="BE112" t="s">
        <v>90</v>
      </c>
      <c r="BF112">
        <f>AX112/AZ112+AY112/BA112+BB112/BC112</f>
        <v>1.8384615384615384</v>
      </c>
      <c r="BG112">
        <v>1600</v>
      </c>
      <c r="BH112" s="25" t="s">
        <v>90</v>
      </c>
      <c r="BI112" s="25" t="s">
        <v>90</v>
      </c>
      <c r="BJ112" t="s">
        <v>715</v>
      </c>
      <c r="BK112" t="s">
        <v>598</v>
      </c>
      <c r="BL112">
        <v>14</v>
      </c>
      <c r="BM112" t="s">
        <v>599</v>
      </c>
      <c r="BN112" t="s">
        <v>110</v>
      </c>
      <c r="BO112">
        <v>1</v>
      </c>
      <c r="BP112" t="s">
        <v>568</v>
      </c>
      <c r="BQ112" t="s">
        <v>569</v>
      </c>
      <c r="BR112">
        <v>5.98</v>
      </c>
      <c r="BS112" s="24">
        <v>0.1835</v>
      </c>
      <c r="BT112" s="26">
        <v>78.519688900000006</v>
      </c>
      <c r="BU112" s="26">
        <v>21.480296899999999</v>
      </c>
      <c r="BV112" s="26">
        <v>0</v>
      </c>
      <c r="BW112" s="26" t="s">
        <v>71</v>
      </c>
      <c r="BX112" s="26">
        <v>63</v>
      </c>
      <c r="BY112" s="26">
        <v>56.16</v>
      </c>
      <c r="BZ112" s="26">
        <v>88.84</v>
      </c>
      <c r="CA112" s="26">
        <v>145</v>
      </c>
      <c r="CB112">
        <f>IF(AZ112&lt;&gt;"NA",(10000/AZ112)*(125/365),(10000/BA112)*(125/365))</f>
        <v>1.9178082191780819</v>
      </c>
      <c r="CC112">
        <f>IF(BA112&lt;&gt;"NA",(10000/BA112)*(125/365),(10000/AZ112)*(125/365))</f>
        <v>4.794520547945206</v>
      </c>
      <c r="CD112">
        <f>AE112/AVERAGE(AZ112,BA112)</f>
        <v>0.15698587127158556</v>
      </c>
      <c r="CE112">
        <f>1.911*IF(AX112&lt;&gt;"NA", AVERAGE(AX112,AY112), AVERAGE(AZ112,BA112))</f>
        <v>1837.4999999999998</v>
      </c>
      <c r="CF112">
        <v>50</v>
      </c>
      <c r="CG112" s="27">
        <f>(CF112/N112)/IF(AX112&lt;&gt;"NA", AX112,AY112)</f>
        <v>0.33333333333333331</v>
      </c>
      <c r="CH112">
        <f>CF112/N112</f>
        <v>457.87545787545787</v>
      </c>
    </row>
    <row r="113" spans="1:86" ht="15.6" x14ac:dyDescent="0.3">
      <c r="A113">
        <v>112</v>
      </c>
      <c r="B113" s="20" t="s">
        <v>716</v>
      </c>
      <c r="C113" t="s">
        <v>134</v>
      </c>
      <c r="D113">
        <v>-2.2793649999999999</v>
      </c>
      <c r="E113">
        <v>28.893336000000001</v>
      </c>
      <c r="F113">
        <v>1617</v>
      </c>
      <c r="G113" s="36" t="s">
        <v>319</v>
      </c>
      <c r="H113" s="38" t="s">
        <v>320</v>
      </c>
      <c r="I113">
        <v>47</v>
      </c>
      <c r="J113" t="s">
        <v>91</v>
      </c>
      <c r="K113" t="s">
        <v>92</v>
      </c>
      <c r="L113" t="s">
        <v>717</v>
      </c>
      <c r="M113">
        <f>27*8/10000</f>
        <v>2.1600000000000001E-2</v>
      </c>
      <c r="N113">
        <f t="shared" si="3"/>
        <v>2.1600000000000001E-2</v>
      </c>
      <c r="O113" t="s">
        <v>717</v>
      </c>
      <c r="P113" t="s">
        <v>93</v>
      </c>
      <c r="Q113">
        <v>90</v>
      </c>
      <c r="R113" s="19">
        <v>44814</v>
      </c>
      <c r="S113" s="19">
        <v>44967</v>
      </c>
      <c r="T113" t="s">
        <v>718</v>
      </c>
      <c r="U113" s="25" t="s">
        <v>90</v>
      </c>
      <c r="V113" t="s">
        <v>324</v>
      </c>
      <c r="W113">
        <v>20</v>
      </c>
      <c r="X113" t="s">
        <v>100</v>
      </c>
      <c r="Y113" t="s">
        <v>101</v>
      </c>
      <c r="Z113">
        <v>1</v>
      </c>
      <c r="AA113" t="s">
        <v>366</v>
      </c>
      <c r="AB113" t="s">
        <v>326</v>
      </c>
      <c r="AC113" s="25" t="s">
        <v>90</v>
      </c>
      <c r="AD113">
        <v>6</v>
      </c>
      <c r="AE113" s="24">
        <f t="shared" si="4"/>
        <v>308.64197530864192</v>
      </c>
      <c r="AF113" t="s">
        <v>96</v>
      </c>
      <c r="AG113" t="s">
        <v>101</v>
      </c>
      <c r="AH113" t="s">
        <v>563</v>
      </c>
      <c r="AI113" s="25" t="s">
        <v>90</v>
      </c>
      <c r="AJ113" t="s">
        <v>595</v>
      </c>
      <c r="AK113" t="s">
        <v>366</v>
      </c>
      <c r="AL113" t="s">
        <v>330</v>
      </c>
      <c r="AM113">
        <v>2</v>
      </c>
      <c r="AN113" t="s">
        <v>331</v>
      </c>
      <c r="AO113" s="25" t="s">
        <v>90</v>
      </c>
      <c r="AP113" t="s">
        <v>332</v>
      </c>
      <c r="AQ113" t="s">
        <v>424</v>
      </c>
      <c r="AR113" t="s">
        <v>96</v>
      </c>
      <c r="AS113" t="s">
        <v>100</v>
      </c>
      <c r="AT113" t="s">
        <v>719</v>
      </c>
      <c r="AU113" t="s">
        <v>416</v>
      </c>
      <c r="AV113" t="s">
        <v>335</v>
      </c>
      <c r="AW113" t="s">
        <v>336</v>
      </c>
      <c r="AX113" s="20">
        <f>(52.5/$M113)</f>
        <v>2430.5555555555552</v>
      </c>
      <c r="AY113" s="52">
        <f>(45/$M113)</f>
        <v>2083.333333333333</v>
      </c>
      <c r="AZ113" s="51">
        <f>AX113+AX113*((100-Q113)/100)</f>
        <v>2673.6111111111109</v>
      </c>
      <c r="BA113">
        <f>AY113+AY113*((100-Q113)/100)</f>
        <v>2291.6666666666665</v>
      </c>
      <c r="BB113" t="s">
        <v>90</v>
      </c>
      <c r="BC113" t="s">
        <v>90</v>
      </c>
      <c r="BD113" t="s">
        <v>90</v>
      </c>
      <c r="BE113" t="s">
        <v>90</v>
      </c>
      <c r="BF113" t="s">
        <v>90</v>
      </c>
      <c r="BG113">
        <v>1700</v>
      </c>
      <c r="BH113" s="25" t="s">
        <v>90</v>
      </c>
      <c r="BI113" t="s">
        <v>720</v>
      </c>
      <c r="BJ113" t="s">
        <v>382</v>
      </c>
      <c r="BK113" t="s">
        <v>598</v>
      </c>
      <c r="BL113">
        <v>14</v>
      </c>
      <c r="BM113" t="s">
        <v>599</v>
      </c>
      <c r="BN113" t="s">
        <v>110</v>
      </c>
      <c r="BO113">
        <v>0</v>
      </c>
      <c r="BP113" s="24" t="s">
        <v>132</v>
      </c>
      <c r="BQ113" t="s">
        <v>371</v>
      </c>
      <c r="BR113">
        <v>5.08</v>
      </c>
      <c r="BS113" s="24">
        <v>0.21290000000000001</v>
      </c>
      <c r="BT113" s="26">
        <v>20.48659318</v>
      </c>
      <c r="BU113" s="26">
        <v>58.703270000000003</v>
      </c>
      <c r="BV113" s="26">
        <v>20.810150211</v>
      </c>
      <c r="BW113" s="26" t="s">
        <v>163</v>
      </c>
      <c r="BX113" s="26">
        <v>88</v>
      </c>
      <c r="BY113" s="26">
        <v>55.487999999999992</v>
      </c>
      <c r="BZ113" s="26">
        <v>89.512</v>
      </c>
      <c r="CA113" s="26">
        <v>145</v>
      </c>
      <c r="CB113">
        <f>IF(AZ113&lt;&gt;"NA",(10000/AZ113)*(125/365),(10000/BA113)*(125/365))</f>
        <v>1.2809108699519658</v>
      </c>
      <c r="CC113">
        <f>IF(BA113&lt;&gt;"NA",(10000/BA113)*(125/365),(10000/AZ113)*(125/365))</f>
        <v>1.4943960149439603</v>
      </c>
      <c r="CD113">
        <f>AE113/AVERAGE(AZ113,BA113)</f>
        <v>0.12432012432012431</v>
      </c>
      <c r="CE113">
        <f>1.911*IF(AX113&lt;&gt;"NA", AVERAGE(AX113,AY113), AVERAGE(AZ113,BA113))</f>
        <v>4313.020833333333</v>
      </c>
      <c r="CF113">
        <v>10</v>
      </c>
      <c r="CG113" s="27">
        <f>(CF113/N113)/IF(AX113&lt;&gt;"NA", AX113,AY113)</f>
        <v>0.19047619047619049</v>
      </c>
      <c r="CH113">
        <f>CF113/N113</f>
        <v>462.96296296296293</v>
      </c>
    </row>
    <row r="114" spans="1:86" s="24" customFormat="1" ht="18.600000000000001" customHeight="1" x14ac:dyDescent="0.3">
      <c r="A114">
        <v>113</v>
      </c>
      <c r="B114" s="20" t="s">
        <v>721</v>
      </c>
      <c r="C114" t="s">
        <v>134</v>
      </c>
      <c r="D114">
        <v>-2.2791990000000002</v>
      </c>
      <c r="E114">
        <v>28.893131</v>
      </c>
      <c r="F114">
        <v>1612</v>
      </c>
      <c r="G114" s="36" t="s">
        <v>319</v>
      </c>
      <c r="H114" s="38" t="s">
        <v>320</v>
      </c>
      <c r="I114">
        <v>43</v>
      </c>
      <c r="J114" t="s">
        <v>91</v>
      </c>
      <c r="K114" t="s">
        <v>92</v>
      </c>
      <c r="L114" t="s">
        <v>92</v>
      </c>
      <c r="M114">
        <f>22*17/10000</f>
        <v>3.7400000000000003E-2</v>
      </c>
      <c r="N114">
        <f t="shared" ref="N114:N122" si="6">M114</f>
        <v>3.7400000000000003E-2</v>
      </c>
      <c r="O114" t="s">
        <v>92</v>
      </c>
      <c r="P114" t="s">
        <v>93</v>
      </c>
      <c r="Q114">
        <v>97</v>
      </c>
      <c r="R114" s="19">
        <v>44809</v>
      </c>
      <c r="S114" s="19">
        <v>44967</v>
      </c>
      <c r="T114" t="s">
        <v>722</v>
      </c>
      <c r="U114" t="s">
        <v>565</v>
      </c>
      <c r="V114" t="s">
        <v>324</v>
      </c>
      <c r="W114">
        <v>20</v>
      </c>
      <c r="X114" t="s">
        <v>100</v>
      </c>
      <c r="Y114" t="s">
        <v>101</v>
      </c>
      <c r="Z114">
        <v>2</v>
      </c>
      <c r="AA114" t="s">
        <v>705</v>
      </c>
      <c r="AB114" t="s">
        <v>326</v>
      </c>
      <c r="AC114" s="25" t="s">
        <v>90</v>
      </c>
      <c r="AD114">
        <v>4.5</v>
      </c>
      <c r="AE114" s="24">
        <f t="shared" si="4"/>
        <v>124.04211919069407</v>
      </c>
      <c r="AF114" t="s">
        <v>96</v>
      </c>
      <c r="AG114" t="s">
        <v>101</v>
      </c>
      <c r="AH114" t="s">
        <v>563</v>
      </c>
      <c r="AI114" s="25" t="s">
        <v>90</v>
      </c>
      <c r="AJ114" t="s">
        <v>595</v>
      </c>
      <c r="AK114" t="s">
        <v>366</v>
      </c>
      <c r="AL114" t="s">
        <v>330</v>
      </c>
      <c r="AM114" t="s">
        <v>723</v>
      </c>
      <c r="AN114" t="s">
        <v>331</v>
      </c>
      <c r="AO114" s="25" t="s">
        <v>90</v>
      </c>
      <c r="AP114" t="s">
        <v>332</v>
      </c>
      <c r="AQ114" t="s">
        <v>332</v>
      </c>
      <c r="AR114" t="s">
        <v>96</v>
      </c>
      <c r="AS114" t="s">
        <v>100</v>
      </c>
      <c r="AT114" t="s">
        <v>724</v>
      </c>
      <c r="AU114" t="s">
        <v>416</v>
      </c>
      <c r="AV114" t="s">
        <v>335</v>
      </c>
      <c r="AW114" t="s">
        <v>336</v>
      </c>
      <c r="AX114" s="20">
        <f>(52.5/$M114)</f>
        <v>1403.7433155080214</v>
      </c>
      <c r="AY114" s="52">
        <f>(45/$M114)</f>
        <v>1203.2085561497324</v>
      </c>
      <c r="AZ114" s="51">
        <f>AX114+AX114*((100-Q114)/100)</f>
        <v>1445.8556149732619</v>
      </c>
      <c r="BA114">
        <f>AY114+AY114*((100-Q114)/100)</f>
        <v>1239.3048128342243</v>
      </c>
      <c r="BB114" t="s">
        <v>90</v>
      </c>
      <c r="BC114" t="s">
        <v>90</v>
      </c>
      <c r="BD114" t="s">
        <v>90</v>
      </c>
      <c r="BE114" t="s">
        <v>90</v>
      </c>
      <c r="BF114" t="s">
        <v>90</v>
      </c>
      <c r="BG114">
        <v>1700</v>
      </c>
      <c r="BH114" s="25" t="s">
        <v>90</v>
      </c>
      <c r="BI114" s="25" t="s">
        <v>90</v>
      </c>
      <c r="BJ114" t="s">
        <v>725</v>
      </c>
      <c r="BK114" t="s">
        <v>598</v>
      </c>
      <c r="BL114">
        <v>14</v>
      </c>
      <c r="BM114" t="s">
        <v>599</v>
      </c>
      <c r="BN114" t="s">
        <v>110</v>
      </c>
      <c r="BO114">
        <v>0</v>
      </c>
      <c r="BP114" s="24" t="s">
        <v>132</v>
      </c>
      <c r="BQ114" t="s">
        <v>371</v>
      </c>
      <c r="BR114">
        <v>5.26</v>
      </c>
      <c r="BS114" s="24">
        <v>0.2225</v>
      </c>
      <c r="BT114" s="26">
        <v>76.004288399999993</v>
      </c>
      <c r="BU114" s="26">
        <v>22.995714700000001</v>
      </c>
      <c r="BV114" s="26">
        <v>1.00054</v>
      </c>
      <c r="BW114" s="26" t="s">
        <v>71</v>
      </c>
      <c r="BX114" s="26">
        <v>63</v>
      </c>
      <c r="BY114" s="26">
        <v>50.688000000000002</v>
      </c>
      <c r="BZ114" s="26">
        <v>94.311999999999998</v>
      </c>
      <c r="CA114" s="26">
        <v>145</v>
      </c>
      <c r="CB114">
        <f>IF(AZ114&lt;&gt;"NA",(10000/AZ114)*(125/365),(10000/BA114)*(125/365))</f>
        <v>2.3686027143933779</v>
      </c>
      <c r="CC114">
        <f>IF(BA114&lt;&gt;"NA",(10000/BA114)*(125/365),(10000/AZ114)*(125/365))</f>
        <v>2.7633698334589414</v>
      </c>
      <c r="CD114">
        <f>AE114/AVERAGE(AZ114,BA114)</f>
        <v>9.2390844067352915E-2</v>
      </c>
      <c r="CE114">
        <f>1.911*IF(AX114&lt;&gt;"NA", AVERAGE(AX114,AY114), AVERAGE(AZ114,BA114))</f>
        <v>2490.9425133689842</v>
      </c>
      <c r="CF114">
        <v>0</v>
      </c>
      <c r="CG114" s="27">
        <f>(CF114/N114)/IF(AX114&lt;&gt;"NA", AX114,AY114)</f>
        <v>0</v>
      </c>
      <c r="CH114">
        <f>CF114/N114</f>
        <v>0</v>
      </c>
    </row>
    <row r="115" spans="1:86" s="24" customFormat="1" ht="17.7" customHeight="1" x14ac:dyDescent="0.3">
      <c r="A115">
        <v>114</v>
      </c>
      <c r="B115" s="20" t="s">
        <v>726</v>
      </c>
      <c r="C115" t="s">
        <v>87</v>
      </c>
      <c r="D115">
        <v>-2.2655120000000002</v>
      </c>
      <c r="E115">
        <v>28.906199999999998</v>
      </c>
      <c r="F115">
        <v>1565</v>
      </c>
      <c r="G115" s="36" t="s">
        <v>319</v>
      </c>
      <c r="H115" s="38" t="s">
        <v>320</v>
      </c>
      <c r="I115">
        <v>32</v>
      </c>
      <c r="J115" t="s">
        <v>91</v>
      </c>
      <c r="K115" t="s">
        <v>727</v>
      </c>
      <c r="L115" t="s">
        <v>408</v>
      </c>
      <c r="M115">
        <f>30*25/10000</f>
        <v>7.4999999999999997E-2</v>
      </c>
      <c r="N115">
        <f t="shared" si="6"/>
        <v>7.4999999999999997E-2</v>
      </c>
      <c r="O115" t="s">
        <v>408</v>
      </c>
      <c r="P115" t="s">
        <v>344</v>
      </c>
      <c r="Q115">
        <v>80</v>
      </c>
      <c r="R115" s="19">
        <v>44809</v>
      </c>
      <c r="S115" s="25" t="s">
        <v>90</v>
      </c>
      <c r="T115" t="s">
        <v>415</v>
      </c>
      <c r="U115" t="s">
        <v>264</v>
      </c>
      <c r="V115" t="s">
        <v>324</v>
      </c>
      <c r="W115">
        <v>20</v>
      </c>
      <c r="X115" t="s">
        <v>100</v>
      </c>
      <c r="Y115" t="s">
        <v>101</v>
      </c>
      <c r="Z115">
        <v>1</v>
      </c>
      <c r="AA115" t="s">
        <v>366</v>
      </c>
      <c r="AB115" t="s">
        <v>326</v>
      </c>
      <c r="AC115" s="25" t="s">
        <v>90</v>
      </c>
      <c r="AD115">
        <v>2.25</v>
      </c>
      <c r="AE115" s="24">
        <f t="shared" si="4"/>
        <v>37.5</v>
      </c>
      <c r="AF115" t="s">
        <v>324</v>
      </c>
      <c r="AG115" t="s">
        <v>101</v>
      </c>
      <c r="AH115" t="s">
        <v>563</v>
      </c>
      <c r="AI115" s="25" t="s">
        <v>90</v>
      </c>
      <c r="AJ115" t="s">
        <v>728</v>
      </c>
      <c r="AK115" t="s">
        <v>366</v>
      </c>
      <c r="AL115" t="s">
        <v>330</v>
      </c>
      <c r="AM115">
        <v>1</v>
      </c>
      <c r="AN115" t="s">
        <v>331</v>
      </c>
      <c r="AO115" s="25" t="s">
        <v>90</v>
      </c>
      <c r="AP115" t="s">
        <v>332</v>
      </c>
      <c r="AQ115" t="s">
        <v>332</v>
      </c>
      <c r="AR115">
        <v>50</v>
      </c>
      <c r="AS115" t="s">
        <v>324</v>
      </c>
      <c r="AT115" t="s">
        <v>577</v>
      </c>
      <c r="AU115" t="s">
        <v>729</v>
      </c>
      <c r="AV115" t="s">
        <v>335</v>
      </c>
      <c r="AW115" t="s">
        <v>336</v>
      </c>
      <c r="AX115" s="20">
        <f>(30/$M115)</f>
        <v>400</v>
      </c>
      <c r="AY115" s="52">
        <f>(27/$M115)</f>
        <v>360</v>
      </c>
      <c r="AZ115" s="51">
        <f>AX115+AX115*((100-Q115)/100)</f>
        <v>480</v>
      </c>
      <c r="BA115">
        <f>AY115+AY115*((100-Q115)/100)</f>
        <v>432</v>
      </c>
      <c r="BB115" t="s">
        <v>90</v>
      </c>
      <c r="BC115" t="s">
        <v>90</v>
      </c>
      <c r="BD115" t="s">
        <v>90</v>
      </c>
      <c r="BE115" t="s">
        <v>90</v>
      </c>
      <c r="BF115" t="s">
        <v>90</v>
      </c>
      <c r="BG115">
        <v>1700</v>
      </c>
      <c r="BH115" s="25" t="s">
        <v>90</v>
      </c>
      <c r="BI115" s="25" t="s">
        <v>90</v>
      </c>
      <c r="BJ115" t="s">
        <v>730</v>
      </c>
      <c r="BK115" t="s">
        <v>598</v>
      </c>
      <c r="BL115">
        <v>14</v>
      </c>
      <c r="BM115" t="s">
        <v>599</v>
      </c>
      <c r="BN115" t="s">
        <v>110</v>
      </c>
      <c r="BO115">
        <v>0</v>
      </c>
      <c r="BP115" s="24" t="s">
        <v>132</v>
      </c>
      <c r="BQ115" t="s">
        <v>371</v>
      </c>
      <c r="BR115">
        <v>5.41</v>
      </c>
      <c r="BS115" s="24">
        <v>0.18210000000000001</v>
      </c>
      <c r="BT115" s="26">
        <v>21.48659318</v>
      </c>
      <c r="BU115" s="26">
        <v>56.703269999999996</v>
      </c>
      <c r="BV115" s="26">
        <v>21.810150211</v>
      </c>
      <c r="BW115" s="26" t="s">
        <v>163</v>
      </c>
      <c r="BX115" s="26">
        <v>88</v>
      </c>
      <c r="BY115" s="26">
        <v>31.488</v>
      </c>
      <c r="BZ115" s="26">
        <v>113.512</v>
      </c>
      <c r="CA115" s="26">
        <v>145</v>
      </c>
      <c r="CB115">
        <f>IF(AZ115&lt;&gt;"NA",(10000/AZ115)*(125/365),(10000/BA115)*(125/365))</f>
        <v>7.1347031963470311</v>
      </c>
      <c r="CC115">
        <f>IF(BA115&lt;&gt;"NA",(10000/BA115)*(125/365),(10000/AZ115)*(125/365))</f>
        <v>7.9274479959411464</v>
      </c>
      <c r="CD115">
        <f>AE115/AVERAGE(AZ115,BA115)</f>
        <v>8.2236842105263164E-2</v>
      </c>
      <c r="CE115">
        <f>1.911*IF(AX115&lt;&gt;"NA", AVERAGE(AX115,AY115), AVERAGE(AZ115,BA115))</f>
        <v>726.18000000000006</v>
      </c>
      <c r="CF115">
        <v>30</v>
      </c>
      <c r="CG115" s="27">
        <f>(CF115/N115)/IF(AX115&lt;&gt;"NA", AX115,AY115)</f>
        <v>1</v>
      </c>
      <c r="CH115">
        <f>CF115/N115</f>
        <v>400</v>
      </c>
    </row>
    <row r="116" spans="1:86" s="24" customFormat="1" ht="20.100000000000001" customHeight="1" x14ac:dyDescent="0.3">
      <c r="A116">
        <v>115</v>
      </c>
      <c r="B116" s="20" t="s">
        <v>731</v>
      </c>
      <c r="C116" t="s">
        <v>134</v>
      </c>
      <c r="D116">
        <v>-2.2669860000000002</v>
      </c>
      <c r="E116">
        <v>28.907858000000001</v>
      </c>
      <c r="F116">
        <v>1578</v>
      </c>
      <c r="G116" s="36" t="s">
        <v>319</v>
      </c>
      <c r="H116" s="38" t="s">
        <v>320</v>
      </c>
      <c r="I116">
        <v>30</v>
      </c>
      <c r="J116" t="s">
        <v>91</v>
      </c>
      <c r="K116" t="s">
        <v>363</v>
      </c>
      <c r="L116" t="s">
        <v>494</v>
      </c>
      <c r="M116">
        <f>24*11/10000</f>
        <v>2.64E-2</v>
      </c>
      <c r="N116">
        <f t="shared" si="6"/>
        <v>2.64E-2</v>
      </c>
      <c r="O116" t="s">
        <v>732</v>
      </c>
      <c r="P116" t="s">
        <v>93</v>
      </c>
      <c r="Q116">
        <v>40</v>
      </c>
      <c r="R116" s="19">
        <v>44808</v>
      </c>
      <c r="S116" s="19">
        <v>44972</v>
      </c>
      <c r="T116" t="s">
        <v>92</v>
      </c>
      <c r="U116" t="s">
        <v>264</v>
      </c>
      <c r="V116" t="s">
        <v>324</v>
      </c>
      <c r="W116">
        <v>20</v>
      </c>
      <c r="X116" t="s">
        <v>100</v>
      </c>
      <c r="Y116" t="s">
        <v>101</v>
      </c>
      <c r="Z116">
        <v>2</v>
      </c>
      <c r="AA116" t="s">
        <v>366</v>
      </c>
      <c r="AB116" t="s">
        <v>326</v>
      </c>
      <c r="AC116" s="25" t="s">
        <v>90</v>
      </c>
      <c r="AD116">
        <v>4.5</v>
      </c>
      <c r="AE116" s="24">
        <f t="shared" si="4"/>
        <v>426.13636363636363</v>
      </c>
      <c r="AF116" t="s">
        <v>324</v>
      </c>
      <c r="AG116" t="s">
        <v>101</v>
      </c>
      <c r="AH116" t="s">
        <v>563</v>
      </c>
      <c r="AI116" s="25" t="s">
        <v>90</v>
      </c>
      <c r="AJ116" t="s">
        <v>602</v>
      </c>
      <c r="AK116" t="s">
        <v>366</v>
      </c>
      <c r="AL116" t="s">
        <v>330</v>
      </c>
      <c r="AM116" t="s">
        <v>733</v>
      </c>
      <c r="AN116" t="s">
        <v>331</v>
      </c>
      <c r="AO116" s="25" t="s">
        <v>90</v>
      </c>
      <c r="AP116" t="s">
        <v>332</v>
      </c>
      <c r="AQ116" t="s">
        <v>332</v>
      </c>
      <c r="AR116">
        <v>70</v>
      </c>
      <c r="AS116" t="s">
        <v>324</v>
      </c>
      <c r="AT116" t="s">
        <v>577</v>
      </c>
      <c r="AU116" t="s">
        <v>734</v>
      </c>
      <c r="AV116" t="s">
        <v>335</v>
      </c>
      <c r="AW116" t="s">
        <v>336</v>
      </c>
      <c r="AX116" s="20">
        <f>(45/$M116)</f>
        <v>1704.5454545454545</v>
      </c>
      <c r="AY116" s="52">
        <f>(15/$M116)</f>
        <v>568.18181818181813</v>
      </c>
      <c r="AZ116" s="51">
        <f>AX116+AX116*((100-Q116)/100)</f>
        <v>2727.272727272727</v>
      </c>
      <c r="BA116">
        <f>AY116+AY116*((100-Q116)/100)</f>
        <v>909.09090909090901</v>
      </c>
      <c r="BB116" s="20">
        <f>(100/$M116)</f>
        <v>3787.878787878788</v>
      </c>
      <c r="BC116">
        <f>BB116+(BB116*Q116)/(100-Q116)</f>
        <v>6313.1313131313127</v>
      </c>
      <c r="BD116" t="s">
        <v>90</v>
      </c>
      <c r="BE116" t="s">
        <v>90</v>
      </c>
      <c r="BF116">
        <f>AX116/AZ116+AY116/BA116+BB116/BC116</f>
        <v>1.85</v>
      </c>
      <c r="BG116">
        <v>1700</v>
      </c>
      <c r="BH116" s="25" t="s">
        <v>90</v>
      </c>
      <c r="BI116" s="25" t="s">
        <v>90</v>
      </c>
      <c r="BJ116" t="s">
        <v>735</v>
      </c>
      <c r="BK116" t="s">
        <v>598</v>
      </c>
      <c r="BL116">
        <v>14</v>
      </c>
      <c r="BM116" t="s">
        <v>599</v>
      </c>
      <c r="BN116" t="s">
        <v>110</v>
      </c>
      <c r="BO116">
        <v>0</v>
      </c>
      <c r="BP116" s="24" t="s">
        <v>132</v>
      </c>
      <c r="BQ116" t="s">
        <v>371</v>
      </c>
      <c r="BR116">
        <v>6.21</v>
      </c>
      <c r="BS116" s="24">
        <v>0.1159</v>
      </c>
      <c r="BT116" s="26">
        <v>95.252906499999995</v>
      </c>
      <c r="BU116" s="26">
        <v>4.7471012400000001</v>
      </c>
      <c r="BV116" s="26">
        <v>0</v>
      </c>
      <c r="BW116" s="26" t="s">
        <v>71</v>
      </c>
      <c r="BX116" s="26">
        <v>63</v>
      </c>
      <c r="BY116" s="26">
        <v>59.16</v>
      </c>
      <c r="BZ116" s="26">
        <v>85.84</v>
      </c>
      <c r="CA116" s="26">
        <v>145</v>
      </c>
      <c r="CB116">
        <f>IF(AZ116&lt;&gt;"NA",(10000/AZ116)*(125/365),(10000/BA116)*(125/365))</f>
        <v>1.2557077625570776</v>
      </c>
      <c r="CC116">
        <f>IF(BA116&lt;&gt;"NA",(10000/BA116)*(125/365),(10000/AZ116)*(125/365))</f>
        <v>3.7671232876712333</v>
      </c>
      <c r="CD116">
        <f>AE116/AVERAGE(AZ116,BA116)</f>
        <v>0.23437500000000003</v>
      </c>
      <c r="CE116">
        <f>1.911*IF(AX116&lt;&gt;"NA", AVERAGE(AX116,AY116), AVERAGE(AZ116,BA116))</f>
        <v>2171.590909090909</v>
      </c>
      <c r="CF116">
        <v>30</v>
      </c>
      <c r="CG116" s="27">
        <f>(CF116/N116)/IF(AX116&lt;&gt;"NA", AX116,AY116)</f>
        <v>0.66666666666666663</v>
      </c>
      <c r="CH116">
        <f>CF116/N116</f>
        <v>1136.3636363636363</v>
      </c>
    </row>
    <row r="117" spans="1:86" s="24" customFormat="1" ht="17.100000000000001" customHeight="1" x14ac:dyDescent="0.3">
      <c r="A117">
        <v>116</v>
      </c>
      <c r="B117" s="20" t="s">
        <v>736</v>
      </c>
      <c r="C117" t="s">
        <v>134</v>
      </c>
      <c r="D117">
        <v>-2.2658700000000001</v>
      </c>
      <c r="E117">
        <v>28.900279999999999</v>
      </c>
      <c r="F117">
        <v>1573</v>
      </c>
      <c r="G117" s="36" t="s">
        <v>319</v>
      </c>
      <c r="H117" s="38" t="s">
        <v>320</v>
      </c>
      <c r="I117">
        <v>47</v>
      </c>
      <c r="J117" t="s">
        <v>115</v>
      </c>
      <c r="K117" t="s">
        <v>363</v>
      </c>
      <c r="L117" t="s">
        <v>461</v>
      </c>
      <c r="M117">
        <f>62*8/10000</f>
        <v>4.9599999999999998E-2</v>
      </c>
      <c r="N117">
        <f t="shared" si="6"/>
        <v>4.9599999999999998E-2</v>
      </c>
      <c r="O117" t="s">
        <v>445</v>
      </c>
      <c r="P117" t="s">
        <v>322</v>
      </c>
      <c r="Q117">
        <v>50</v>
      </c>
      <c r="R117" s="19">
        <v>44814</v>
      </c>
      <c r="S117" s="19">
        <v>44972</v>
      </c>
      <c r="T117" t="s">
        <v>449</v>
      </c>
      <c r="U117" t="s">
        <v>92</v>
      </c>
      <c r="V117" t="s">
        <v>324</v>
      </c>
      <c r="W117">
        <v>20</v>
      </c>
      <c r="X117" t="s">
        <v>100</v>
      </c>
      <c r="Y117" t="s">
        <v>101</v>
      </c>
      <c r="Z117">
        <v>1</v>
      </c>
      <c r="AA117" t="s">
        <v>713</v>
      </c>
      <c r="AB117" t="s">
        <v>326</v>
      </c>
      <c r="AC117" s="25" t="s">
        <v>90</v>
      </c>
      <c r="AD117">
        <v>9</v>
      </c>
      <c r="AE117" s="24">
        <f t="shared" si="4"/>
        <v>362.90322580645164</v>
      </c>
      <c r="AF117" t="s">
        <v>96</v>
      </c>
      <c r="AG117" t="s">
        <v>101</v>
      </c>
      <c r="AH117" t="s">
        <v>563</v>
      </c>
      <c r="AI117" s="25" t="s">
        <v>90</v>
      </c>
      <c r="AJ117" t="s">
        <v>595</v>
      </c>
      <c r="AK117" t="s">
        <v>366</v>
      </c>
      <c r="AL117" t="s">
        <v>330</v>
      </c>
      <c r="AM117" t="s">
        <v>329</v>
      </c>
      <c r="AN117" t="s">
        <v>331</v>
      </c>
      <c r="AO117" s="25" t="s">
        <v>90</v>
      </c>
      <c r="AP117" t="s">
        <v>332</v>
      </c>
      <c r="AQ117" t="s">
        <v>332</v>
      </c>
      <c r="AR117" s="25" t="s">
        <v>90</v>
      </c>
      <c r="AS117" t="s">
        <v>324</v>
      </c>
      <c r="AT117" t="s">
        <v>737</v>
      </c>
      <c r="AU117" t="s">
        <v>738</v>
      </c>
      <c r="AV117" t="s">
        <v>335</v>
      </c>
      <c r="AW117" t="s">
        <v>336</v>
      </c>
      <c r="AX117" s="20">
        <f>(50/$M117)</f>
        <v>1008.0645161290323</v>
      </c>
      <c r="AY117" s="51">
        <v>630</v>
      </c>
      <c r="AZ117" s="51">
        <f>AX117+AX117*((100-Q117)/100)</f>
        <v>1512.0967741935485</v>
      </c>
      <c r="BA117" t="s">
        <v>90</v>
      </c>
      <c r="BB117" s="20">
        <f>(100/$M117)</f>
        <v>2016.1290322580646</v>
      </c>
      <c r="BC117">
        <f>BB117+(BB117*Q117)/(100-Q117)</f>
        <v>4032.2580645161293</v>
      </c>
      <c r="BD117" t="s">
        <v>90</v>
      </c>
      <c r="BE117" t="s">
        <v>90</v>
      </c>
      <c r="BF117">
        <f>AX117/AZ117+BB117/BC117</f>
        <v>1.1666666666666665</v>
      </c>
      <c r="BG117">
        <v>1700</v>
      </c>
      <c r="BH117" s="25" t="s">
        <v>90</v>
      </c>
      <c r="BI117" s="25" t="s">
        <v>90</v>
      </c>
      <c r="BJ117" t="s">
        <v>735</v>
      </c>
      <c r="BK117" t="s">
        <v>598</v>
      </c>
      <c r="BL117">
        <v>14</v>
      </c>
      <c r="BM117" t="s">
        <v>599</v>
      </c>
      <c r="BN117" t="s">
        <v>110</v>
      </c>
      <c r="BO117">
        <v>0</v>
      </c>
      <c r="BP117" s="24" t="s">
        <v>132</v>
      </c>
      <c r="BQ117" t="s">
        <v>371</v>
      </c>
      <c r="BR117">
        <v>5.7308663649551201</v>
      </c>
      <c r="BS117" s="24">
        <v>0.187847263388847</v>
      </c>
      <c r="BT117" s="26"/>
      <c r="BU117" s="26"/>
      <c r="BV117" s="26"/>
      <c r="BW117" s="26"/>
      <c r="BX117" s="26">
        <v>63</v>
      </c>
      <c r="BY117" s="26">
        <v>57.596736913320541</v>
      </c>
      <c r="BZ117" s="26">
        <v>87.403263086679459</v>
      </c>
      <c r="CA117" s="26">
        <v>145</v>
      </c>
      <c r="CB117">
        <f>IF(AZ117&lt;&gt;"NA",(10000/AZ117)*(125/365),(10000/BA117)*(125/365))</f>
        <v>2.2648401826484013</v>
      </c>
      <c r="CC117">
        <f>IF(BA117&lt;&gt;"NA",(10000/BA117)*(125/365),(10000/AZ117)*(125/365))</f>
        <v>2.2648401826484013</v>
      </c>
      <c r="CD117">
        <f>AE117/AVERAGE(AZ117,BA117)</f>
        <v>0.24</v>
      </c>
      <c r="CE117">
        <f>1.911*IF(AX117&lt;&gt;"NA", AVERAGE(AX117,AY117), AVERAGE(AZ117,BA117))</f>
        <v>1565.1706451612904</v>
      </c>
      <c r="CF117">
        <v>30</v>
      </c>
      <c r="CG117" s="27">
        <f>(CF117/N117)/IF(AX117&lt;&gt;"NA", AX117,AY117)</f>
        <v>0.6</v>
      </c>
      <c r="CH117">
        <f>CF117/N117</f>
        <v>604.83870967741939</v>
      </c>
    </row>
    <row r="118" spans="1:86" ht="15.6" x14ac:dyDescent="0.3">
      <c r="A118">
        <v>117</v>
      </c>
      <c r="B118" s="20" t="s">
        <v>739</v>
      </c>
      <c r="C118" t="s">
        <v>134</v>
      </c>
      <c r="D118">
        <v>-2.2790010000000001</v>
      </c>
      <c r="E118">
        <v>28.891697000000001</v>
      </c>
      <c r="F118">
        <v>1587</v>
      </c>
      <c r="G118" s="36" t="s">
        <v>319</v>
      </c>
      <c r="H118" s="38" t="s">
        <v>320</v>
      </c>
      <c r="I118">
        <v>55</v>
      </c>
      <c r="J118" t="s">
        <v>91</v>
      </c>
      <c r="K118" t="s">
        <v>740</v>
      </c>
      <c r="L118" t="s">
        <v>234</v>
      </c>
      <c r="M118">
        <f>19*12.5/10000</f>
        <v>2.375E-2</v>
      </c>
      <c r="N118">
        <f t="shared" si="6"/>
        <v>2.375E-2</v>
      </c>
      <c r="O118" t="s">
        <v>741</v>
      </c>
      <c r="P118" t="s">
        <v>93</v>
      </c>
      <c r="Q118">
        <v>60</v>
      </c>
      <c r="R118" s="19">
        <v>44814</v>
      </c>
      <c r="S118" s="19">
        <v>44962</v>
      </c>
      <c r="T118" s="25" t="s">
        <v>90</v>
      </c>
      <c r="U118" s="25" t="s">
        <v>90</v>
      </c>
      <c r="V118" t="s">
        <v>324</v>
      </c>
      <c r="W118">
        <v>20</v>
      </c>
      <c r="X118" t="s">
        <v>100</v>
      </c>
      <c r="Y118" t="s">
        <v>101</v>
      </c>
      <c r="Z118">
        <v>1</v>
      </c>
      <c r="AA118" t="s">
        <v>366</v>
      </c>
      <c r="AB118" t="s">
        <v>326</v>
      </c>
      <c r="AC118" s="25" t="s">
        <v>90</v>
      </c>
      <c r="AD118">
        <v>7.5</v>
      </c>
      <c r="AE118" s="24">
        <f t="shared" si="4"/>
        <v>526.31578947368416</v>
      </c>
      <c r="AF118" t="s">
        <v>96</v>
      </c>
      <c r="AG118" t="s">
        <v>101</v>
      </c>
      <c r="AH118" t="s">
        <v>563</v>
      </c>
      <c r="AI118" t="s">
        <v>586</v>
      </c>
      <c r="AJ118" t="s">
        <v>595</v>
      </c>
      <c r="AK118" t="s">
        <v>366</v>
      </c>
      <c r="AL118" t="s">
        <v>330</v>
      </c>
      <c r="AM118" t="s">
        <v>329</v>
      </c>
      <c r="AN118" t="s">
        <v>331</v>
      </c>
      <c r="AO118" s="25" t="s">
        <v>90</v>
      </c>
      <c r="AP118" s="25" t="s">
        <v>90</v>
      </c>
      <c r="AQ118" s="25" t="s">
        <v>90</v>
      </c>
      <c r="AR118" s="25" t="s">
        <v>90</v>
      </c>
      <c r="AS118" t="s">
        <v>100</v>
      </c>
      <c r="AT118" t="s">
        <v>742</v>
      </c>
      <c r="AU118" s="25" t="s">
        <v>90</v>
      </c>
      <c r="AV118" t="s">
        <v>335</v>
      </c>
      <c r="AW118" t="s">
        <v>336</v>
      </c>
      <c r="AX118" s="20">
        <f>(55/$M118)</f>
        <v>2315.7894736842104</v>
      </c>
      <c r="AY118" s="52">
        <f>(30/$M118)</f>
        <v>1263.1578947368421</v>
      </c>
      <c r="AZ118" s="51">
        <f>AX118+AX118*((100-Q118)/100)</f>
        <v>3242.1052631578946</v>
      </c>
      <c r="BA118">
        <f>AY118+AY118*((100-Q118)/100)</f>
        <v>1768.421052631579</v>
      </c>
      <c r="BB118" s="20">
        <f>(60/$M118)</f>
        <v>2526.3157894736842</v>
      </c>
      <c r="BC118">
        <f>BB118+(BB118*Q118)/(100-Q118)</f>
        <v>6315.78947368421</v>
      </c>
      <c r="BD118" t="s">
        <v>90</v>
      </c>
      <c r="BE118" t="s">
        <v>90</v>
      </c>
      <c r="BF118">
        <f>AX118/AZ118+BB118/BC118</f>
        <v>1.1142857142857143</v>
      </c>
      <c r="BG118">
        <v>1700</v>
      </c>
      <c r="BH118" s="25" t="s">
        <v>90</v>
      </c>
      <c r="BI118" s="25" t="s">
        <v>90</v>
      </c>
      <c r="BJ118" t="s">
        <v>382</v>
      </c>
      <c r="BK118" t="s">
        <v>598</v>
      </c>
      <c r="BL118">
        <v>14</v>
      </c>
      <c r="BM118" t="s">
        <v>599</v>
      </c>
      <c r="BN118" t="s">
        <v>110</v>
      </c>
      <c r="BO118">
        <v>1</v>
      </c>
      <c r="BP118" t="s">
        <v>568</v>
      </c>
      <c r="BQ118" t="s">
        <v>569</v>
      </c>
      <c r="BR118">
        <v>6.31</v>
      </c>
      <c r="BS118" s="24">
        <v>0.33329999999999999</v>
      </c>
      <c r="BT118" s="26">
        <v>74.183666099999996</v>
      </c>
      <c r="BU118" s="26">
        <v>25.816319499999999</v>
      </c>
      <c r="BV118" s="26">
        <v>0</v>
      </c>
      <c r="BW118" s="26" t="s">
        <v>71</v>
      </c>
      <c r="BX118" s="26">
        <v>63</v>
      </c>
      <c r="BY118" s="26">
        <v>55.487999999999992</v>
      </c>
      <c r="BZ118" s="26">
        <v>89.512</v>
      </c>
      <c r="CA118" s="26">
        <v>145</v>
      </c>
      <c r="CB118">
        <f>IF(AZ118&lt;&gt;"NA",(10000/AZ118)*(125/365),(10000/BA118)*(125/365))</f>
        <v>1.0563067069916385</v>
      </c>
      <c r="CC118">
        <f>IF(BA118&lt;&gt;"NA",(10000/BA118)*(125/365),(10000/AZ118)*(125/365))</f>
        <v>1.9365622961513373</v>
      </c>
      <c r="CD118">
        <f>AE118/AVERAGE(AZ118,BA118)</f>
        <v>0.21008403361344538</v>
      </c>
      <c r="CE118">
        <f>1.911*IF(AX118&lt;&gt;"NA", AVERAGE(AX118,AY118), AVERAGE(AZ118,BA118))</f>
        <v>3419.6842105263158</v>
      </c>
      <c r="CF118">
        <v>22</v>
      </c>
      <c r="CG118" s="27">
        <f>(CF118/N118)/IF(AX118&lt;&gt;"NA", AX118,AY118)</f>
        <v>0.4</v>
      </c>
      <c r="CH118">
        <f>CF118/N118</f>
        <v>926.31578947368416</v>
      </c>
    </row>
    <row r="119" spans="1:86" ht="15.6" x14ac:dyDescent="0.3">
      <c r="A119">
        <v>118</v>
      </c>
      <c r="B119" s="20" t="s">
        <v>743</v>
      </c>
      <c r="C119" t="s">
        <v>134</v>
      </c>
      <c r="D119" s="24">
        <v>-2.2670659999999998</v>
      </c>
      <c r="E119" s="24">
        <v>28.907464999999998</v>
      </c>
      <c r="F119">
        <v>1574</v>
      </c>
      <c r="G119" s="36" t="s">
        <v>319</v>
      </c>
      <c r="H119" s="36" t="s">
        <v>320</v>
      </c>
      <c r="I119" s="24">
        <v>60</v>
      </c>
      <c r="J119" s="24" t="s">
        <v>91</v>
      </c>
      <c r="K119" s="24" t="s">
        <v>420</v>
      </c>
      <c r="L119" s="24" t="s">
        <v>363</v>
      </c>
      <c r="M119" s="24">
        <f>28*9.5/10000</f>
        <v>2.6599999999999999E-2</v>
      </c>
      <c r="N119" s="24">
        <f t="shared" si="6"/>
        <v>2.6599999999999999E-2</v>
      </c>
      <c r="O119" s="24" t="s">
        <v>363</v>
      </c>
      <c r="P119" s="24" t="s">
        <v>344</v>
      </c>
      <c r="Q119" s="24">
        <v>75</v>
      </c>
      <c r="R119" s="25" t="s">
        <v>90</v>
      </c>
      <c r="S119" s="25" t="s">
        <v>90</v>
      </c>
      <c r="T119" s="24" t="s">
        <v>415</v>
      </c>
      <c r="U119" s="25" t="s">
        <v>90</v>
      </c>
      <c r="V119" s="25" t="s">
        <v>90</v>
      </c>
      <c r="W119" s="25" t="s">
        <v>90</v>
      </c>
      <c r="X119" s="24" t="s">
        <v>100</v>
      </c>
      <c r="Y119" s="24" t="s">
        <v>101</v>
      </c>
      <c r="Z119" s="25" t="s">
        <v>90</v>
      </c>
      <c r="AA119" s="25" t="s">
        <v>90</v>
      </c>
      <c r="AB119" s="24" t="s">
        <v>326</v>
      </c>
      <c r="AC119" s="25" t="s">
        <v>90</v>
      </c>
      <c r="AD119" s="24">
        <v>3</v>
      </c>
      <c r="AE119" s="24">
        <f t="shared" si="4"/>
        <v>150.37593984962407</v>
      </c>
      <c r="AF119" s="24" t="s">
        <v>96</v>
      </c>
      <c r="AG119" s="24" t="s">
        <v>101</v>
      </c>
      <c r="AH119" s="25" t="s">
        <v>90</v>
      </c>
      <c r="AI119" s="25" t="s">
        <v>90</v>
      </c>
      <c r="AJ119" s="24" t="s">
        <v>744</v>
      </c>
      <c r="AK119" s="24" t="s">
        <v>329</v>
      </c>
      <c r="AL119" s="25" t="s">
        <v>90</v>
      </c>
      <c r="AM119" s="25" t="s">
        <v>90</v>
      </c>
      <c r="AN119" s="24" t="s">
        <v>331</v>
      </c>
      <c r="AO119" s="25" t="s">
        <v>90</v>
      </c>
      <c r="AP119" s="24" t="s">
        <v>332</v>
      </c>
      <c r="AQ119" s="24" t="s">
        <v>332</v>
      </c>
      <c r="AR119" s="24">
        <v>50</v>
      </c>
      <c r="AS119" s="24" t="s">
        <v>324</v>
      </c>
      <c r="AT119" s="24" t="s">
        <v>577</v>
      </c>
      <c r="AU119" s="24" t="s">
        <v>745</v>
      </c>
      <c r="AV119" s="24" t="s">
        <v>357</v>
      </c>
      <c r="AW119" s="24" t="s">
        <v>336</v>
      </c>
      <c r="AX119" s="35" t="s">
        <v>90</v>
      </c>
      <c r="AY119" s="53">
        <f>(30/$M119)</f>
        <v>1127.8195488721806</v>
      </c>
      <c r="AZ119" s="50" t="s">
        <v>90</v>
      </c>
      <c r="BA119" s="24">
        <f>AY119+AY119*((100-Q119)/100)</f>
        <v>1409.7744360902257</v>
      </c>
      <c r="BB119" s="35">
        <f>(100/$M119)</f>
        <v>3759.3984962406016</v>
      </c>
      <c r="BC119" s="24">
        <f>BB119+(BB119*Q119)/(100-Q119)</f>
        <v>15037.593984962406</v>
      </c>
      <c r="BD119" s="24" t="s">
        <v>90</v>
      </c>
      <c r="BE119" s="24" t="s">
        <v>90</v>
      </c>
      <c r="BF119" s="24">
        <f>AY119/BA119+BB119/BC119</f>
        <v>1.05</v>
      </c>
      <c r="BG119" s="24">
        <v>1700</v>
      </c>
      <c r="BH119" s="25" t="s">
        <v>90</v>
      </c>
      <c r="BI119" s="25" t="s">
        <v>90</v>
      </c>
      <c r="BJ119" s="24" t="s">
        <v>746</v>
      </c>
      <c r="BK119" s="24" t="s">
        <v>383</v>
      </c>
      <c r="BL119" s="25" t="s">
        <v>90</v>
      </c>
      <c r="BM119" t="s">
        <v>599</v>
      </c>
      <c r="BN119" t="s">
        <v>110</v>
      </c>
      <c r="BO119">
        <v>0</v>
      </c>
      <c r="BP119" t="s">
        <v>132</v>
      </c>
      <c r="BQ119" t="s">
        <v>371</v>
      </c>
      <c r="BR119">
        <v>5.7842248506044998</v>
      </c>
      <c r="BS119" s="24">
        <v>0.19962300447973499</v>
      </c>
      <c r="BT119" s="26"/>
      <c r="BU119" s="26"/>
      <c r="BV119" s="26"/>
      <c r="BW119" s="26"/>
      <c r="BX119" s="26">
        <v>63</v>
      </c>
      <c r="BY119" s="26">
        <v>57.593605004561269</v>
      </c>
      <c r="BZ119" s="26">
        <v>87.406394995438731</v>
      </c>
      <c r="CA119" s="26">
        <v>145</v>
      </c>
      <c r="CB119">
        <f>IF(AZ119&lt;&gt;"NA",(10000/AZ119)*(125/365),(10000/BA119)*(125/365))</f>
        <v>2.4292237442922371</v>
      </c>
      <c r="CC119">
        <f>IF(BA119&lt;&gt;"NA",(10000/BA119)*(125/365),(10000/AZ119)*(125/365))</f>
        <v>2.4292237442922371</v>
      </c>
      <c r="CD119">
        <f>AE119/AVERAGE(AZ119,BA119)</f>
        <v>0.10666666666666667</v>
      </c>
      <c r="CE119">
        <f>1.911*IF(AX119&lt;&gt;"NA", AVERAGE(AX119,AY119), AVERAGE(AZ119,BA119))</f>
        <v>2694.0789473684213</v>
      </c>
      <c r="CF119">
        <v>0</v>
      </c>
      <c r="CG119" s="27">
        <f>(CF119/N119)/IF(AX119&lt;&gt;"NA", AX119,AY119)</f>
        <v>0</v>
      </c>
      <c r="CH119">
        <f>CF119/N119</f>
        <v>0</v>
      </c>
    </row>
    <row r="120" spans="1:86" ht="15.6" x14ac:dyDescent="0.3">
      <c r="A120">
        <v>119</v>
      </c>
      <c r="B120" s="20" t="s">
        <v>747</v>
      </c>
      <c r="C120" t="s">
        <v>87</v>
      </c>
      <c r="D120" s="24">
        <v>-2.2740420000000001</v>
      </c>
      <c r="E120" s="24">
        <v>28.894732000000001</v>
      </c>
      <c r="F120">
        <v>1537</v>
      </c>
      <c r="G120" s="36" t="s">
        <v>319</v>
      </c>
      <c r="H120" s="36" t="s">
        <v>320</v>
      </c>
      <c r="I120" s="24">
        <v>32</v>
      </c>
      <c r="J120" s="24" t="s">
        <v>91</v>
      </c>
      <c r="K120" s="24" t="s">
        <v>604</v>
      </c>
      <c r="L120" s="24" t="s">
        <v>363</v>
      </c>
      <c r="M120" s="24">
        <f>40*17.3/10000</f>
        <v>6.9199999999999998E-2</v>
      </c>
      <c r="N120" s="24">
        <f t="shared" si="6"/>
        <v>6.9199999999999998E-2</v>
      </c>
      <c r="O120" s="24" t="s">
        <v>363</v>
      </c>
      <c r="P120" s="24" t="s">
        <v>344</v>
      </c>
      <c r="Q120" s="24">
        <v>80</v>
      </c>
      <c r="R120" s="25" t="s">
        <v>90</v>
      </c>
      <c r="S120" s="25" t="s">
        <v>90</v>
      </c>
      <c r="T120" s="24" t="s">
        <v>415</v>
      </c>
      <c r="U120" s="24" t="s">
        <v>415</v>
      </c>
      <c r="V120" s="24" t="s">
        <v>324</v>
      </c>
      <c r="W120" s="24">
        <v>20</v>
      </c>
      <c r="X120" s="24" t="s">
        <v>100</v>
      </c>
      <c r="Y120" s="24" t="s">
        <v>101</v>
      </c>
      <c r="Z120" s="24">
        <v>1</v>
      </c>
      <c r="AA120" s="24" t="s">
        <v>366</v>
      </c>
      <c r="AB120" s="24" t="s">
        <v>543</v>
      </c>
      <c r="AC120" s="25" t="s">
        <v>90</v>
      </c>
      <c r="AD120" s="24">
        <v>7</v>
      </c>
      <c r="AE120" s="24">
        <f t="shared" si="4"/>
        <v>126.44508670520233</v>
      </c>
      <c r="AF120" s="24" t="s">
        <v>96</v>
      </c>
      <c r="AG120" s="24" t="s">
        <v>101</v>
      </c>
      <c r="AH120" s="25" t="s">
        <v>90</v>
      </c>
      <c r="AI120" s="25" t="s">
        <v>90</v>
      </c>
      <c r="AJ120" s="24" t="s">
        <v>706</v>
      </c>
      <c r="AK120" s="25" t="s">
        <v>90</v>
      </c>
      <c r="AL120" s="25" t="s">
        <v>90</v>
      </c>
      <c r="AM120" s="25" t="s">
        <v>90</v>
      </c>
      <c r="AN120" s="25" t="s">
        <v>90</v>
      </c>
      <c r="AO120" s="25" t="s">
        <v>90</v>
      </c>
      <c r="AP120" s="24" t="s">
        <v>332</v>
      </c>
      <c r="AQ120" s="24" t="s">
        <v>332</v>
      </c>
      <c r="AR120" s="24">
        <v>0</v>
      </c>
      <c r="AS120" s="24" t="s">
        <v>96</v>
      </c>
      <c r="AT120" s="24" t="s">
        <v>565</v>
      </c>
      <c r="AU120" s="25" t="s">
        <v>90</v>
      </c>
      <c r="AV120" s="24" t="s">
        <v>357</v>
      </c>
      <c r="AW120" s="24" t="s">
        <v>336</v>
      </c>
      <c r="AX120" s="35" t="s">
        <v>90</v>
      </c>
      <c r="AY120" s="53">
        <f>(27/$M120)</f>
        <v>390.17341040462429</v>
      </c>
      <c r="AZ120" s="50" t="s">
        <v>90</v>
      </c>
      <c r="BA120" s="24">
        <f>AY120+AY120*((100-Q120)/100)</f>
        <v>468.20809248554917</v>
      </c>
      <c r="BB120" s="35">
        <f>(160/$M120)</f>
        <v>2312.1387283236995</v>
      </c>
      <c r="BC120" s="24">
        <f>BB120+(BB120*Q120)/(100-Q120)</f>
        <v>11560.693641618498</v>
      </c>
      <c r="BD120" s="24" t="s">
        <v>90</v>
      </c>
      <c r="BE120" s="24" t="s">
        <v>90</v>
      </c>
      <c r="BF120" s="24">
        <f>AY120/BA120+BB120/BC120</f>
        <v>1.0333333333333332</v>
      </c>
      <c r="BG120" s="24">
        <v>1700</v>
      </c>
      <c r="BH120" s="25" t="s">
        <v>90</v>
      </c>
      <c r="BI120" s="25" t="s">
        <v>90</v>
      </c>
      <c r="BJ120" s="24" t="s">
        <v>382</v>
      </c>
      <c r="BK120" s="24" t="s">
        <v>359</v>
      </c>
      <c r="BL120" s="25" t="s">
        <v>90</v>
      </c>
      <c r="BM120" t="s">
        <v>599</v>
      </c>
      <c r="BN120" t="s">
        <v>110</v>
      </c>
      <c r="BO120">
        <v>0</v>
      </c>
      <c r="BP120" t="s">
        <v>132</v>
      </c>
      <c r="BQ120" t="s">
        <v>371</v>
      </c>
      <c r="BR120">
        <v>5.6830803618930998</v>
      </c>
      <c r="BS120" s="24">
        <v>0.16547168890071001</v>
      </c>
      <c r="BT120" s="26"/>
      <c r="BU120" s="26"/>
      <c r="BV120" s="26"/>
      <c r="BW120" s="26"/>
      <c r="BX120" s="26">
        <v>63</v>
      </c>
      <c r="BY120" s="26">
        <v>47.026202228697358</v>
      </c>
      <c r="BZ120" s="26">
        <v>97.973797771302642</v>
      </c>
      <c r="CA120" s="26">
        <v>145</v>
      </c>
      <c r="CB120">
        <f>IF(AZ120&lt;&gt;"NA",(10000/AZ120)*(125/365),(10000/BA120)*(125/365))</f>
        <v>7.3143920175883634</v>
      </c>
      <c r="CC120">
        <f>IF(BA120&lt;&gt;"NA",(10000/BA120)*(125/365),(10000/AZ120)*(125/365))</f>
        <v>7.3143920175883634</v>
      </c>
      <c r="CD120">
        <f>AE120/AVERAGE(AZ120,BA120)</f>
        <v>0.27006172839506176</v>
      </c>
      <c r="CE120">
        <f>1.911*IF(AX120&lt;&gt;"NA", AVERAGE(AX120,AY120), AVERAGE(AZ120,BA120))</f>
        <v>894.74566473988443</v>
      </c>
      <c r="CF120">
        <v>0</v>
      </c>
      <c r="CG120" s="27">
        <f>(CF120/N120)/IF(AX120&lt;&gt;"NA", AX120,AY120)</f>
        <v>0</v>
      </c>
      <c r="CH120">
        <f>CF120/N120</f>
        <v>0</v>
      </c>
    </row>
    <row r="121" spans="1:86" ht="15.6" x14ac:dyDescent="0.3">
      <c r="A121">
        <v>120</v>
      </c>
      <c r="B121" s="20" t="s">
        <v>748</v>
      </c>
      <c r="C121" t="s">
        <v>134</v>
      </c>
      <c r="D121" s="24">
        <v>-2.3151760000000001</v>
      </c>
      <c r="E121" s="24">
        <v>28.788270000000001</v>
      </c>
      <c r="F121" s="24">
        <v>1731</v>
      </c>
      <c r="G121" s="36" t="s">
        <v>319</v>
      </c>
      <c r="H121" s="36" t="s">
        <v>320</v>
      </c>
      <c r="I121" s="24">
        <v>60</v>
      </c>
      <c r="J121" s="24" t="s">
        <v>91</v>
      </c>
      <c r="K121" s="24" t="s">
        <v>749</v>
      </c>
      <c r="L121" s="24" t="s">
        <v>749</v>
      </c>
      <c r="M121" s="24">
        <f>24.3*17.6/10000</f>
        <v>4.2768000000000007E-2</v>
      </c>
      <c r="N121" s="24">
        <f t="shared" si="6"/>
        <v>4.2768000000000007E-2</v>
      </c>
      <c r="O121" s="24" t="s">
        <v>749</v>
      </c>
      <c r="P121" s="24" t="s">
        <v>93</v>
      </c>
      <c r="Q121" s="24">
        <v>75</v>
      </c>
      <c r="R121" s="31">
        <v>44801</v>
      </c>
      <c r="S121" s="31">
        <v>44954</v>
      </c>
      <c r="T121" s="24" t="s">
        <v>415</v>
      </c>
      <c r="U121" s="24" t="s">
        <v>585</v>
      </c>
      <c r="V121" s="24" t="s">
        <v>324</v>
      </c>
      <c r="W121" s="24">
        <v>20</v>
      </c>
      <c r="X121" s="24" t="s">
        <v>100</v>
      </c>
      <c r="Y121" s="24" t="s">
        <v>101</v>
      </c>
      <c r="Z121" s="24">
        <v>1</v>
      </c>
      <c r="AA121" s="24" t="s">
        <v>705</v>
      </c>
      <c r="AB121" s="24" t="s">
        <v>750</v>
      </c>
      <c r="AC121" s="24" t="s">
        <v>100</v>
      </c>
      <c r="AD121" s="24">
        <v>2.25</v>
      </c>
      <c r="AE121" s="24">
        <f t="shared" si="4"/>
        <v>70.145903479236793</v>
      </c>
      <c r="AF121" s="24" t="s">
        <v>96</v>
      </c>
      <c r="AG121" s="24" t="s">
        <v>101</v>
      </c>
      <c r="AH121" s="24" t="s">
        <v>563</v>
      </c>
      <c r="AI121" s="25" t="s">
        <v>90</v>
      </c>
      <c r="AJ121" s="25" t="s">
        <v>90</v>
      </c>
      <c r="AK121" s="25" t="s">
        <v>90</v>
      </c>
      <c r="AL121" s="24" t="s">
        <v>433</v>
      </c>
      <c r="AM121" s="24">
        <v>0</v>
      </c>
      <c r="AN121" s="24" t="s">
        <v>565</v>
      </c>
      <c r="AO121" s="25" t="s">
        <v>90</v>
      </c>
      <c r="AP121" s="24" t="s">
        <v>751</v>
      </c>
      <c r="AQ121" s="25" t="s">
        <v>90</v>
      </c>
      <c r="AR121" s="24">
        <v>20</v>
      </c>
      <c r="AS121" s="24" t="s">
        <v>324</v>
      </c>
      <c r="AT121" s="24" t="s">
        <v>565</v>
      </c>
      <c r="AU121" s="24" t="s">
        <v>752</v>
      </c>
      <c r="AV121" s="24" t="s">
        <v>335</v>
      </c>
      <c r="AW121" s="24" t="s">
        <v>708</v>
      </c>
      <c r="AX121" s="35">
        <f>(45/$M121)</f>
        <v>1052.188552188552</v>
      </c>
      <c r="AY121" s="53">
        <f>(30/$M121)</f>
        <v>701.45903479236802</v>
      </c>
      <c r="AZ121" s="50">
        <f>AX121+AX121*((100-Q121)/100)</f>
        <v>1315.2356902356901</v>
      </c>
      <c r="BA121" s="24">
        <f>AY121+AY121*((100-Q121)/100)</f>
        <v>876.82379349046005</v>
      </c>
      <c r="BB121" s="24" t="s">
        <v>90</v>
      </c>
      <c r="BC121" s="24" t="s">
        <v>90</v>
      </c>
      <c r="BD121" s="24" t="s">
        <v>90</v>
      </c>
      <c r="BE121" s="24" t="s">
        <v>90</v>
      </c>
      <c r="BF121" s="24" t="s">
        <v>90</v>
      </c>
      <c r="BG121" s="24">
        <v>1800</v>
      </c>
      <c r="BH121" s="25" t="s">
        <v>90</v>
      </c>
      <c r="BI121" s="25" t="s">
        <v>90</v>
      </c>
      <c r="BJ121" s="24" t="s">
        <v>543</v>
      </c>
      <c r="BK121" s="24" t="s">
        <v>383</v>
      </c>
      <c r="BL121" s="24">
        <v>14</v>
      </c>
      <c r="BM121" s="24" t="s">
        <v>599</v>
      </c>
      <c r="BN121" t="s">
        <v>110</v>
      </c>
      <c r="BO121">
        <v>0</v>
      </c>
      <c r="BP121" t="s">
        <v>132</v>
      </c>
      <c r="BQ121" t="s">
        <v>371</v>
      </c>
      <c r="BR121">
        <v>6.26</v>
      </c>
      <c r="BS121" s="24">
        <v>0.34620000000000001</v>
      </c>
      <c r="BT121" s="26">
        <v>21.48659318</v>
      </c>
      <c r="BU121" s="26">
        <v>56.703269999999996</v>
      </c>
      <c r="BV121" s="26">
        <v>21.810150211</v>
      </c>
      <c r="BW121" s="26" t="s">
        <v>163</v>
      </c>
      <c r="BX121" s="26">
        <v>88</v>
      </c>
      <c r="BY121" s="26">
        <v>139.72800000000001</v>
      </c>
      <c r="BZ121" s="26">
        <v>5.2719999999999914</v>
      </c>
      <c r="CA121" s="26">
        <v>145</v>
      </c>
      <c r="CB121">
        <f>IF(AZ121&lt;&gt;"NA",(10000/AZ121)*(125/365),(10000/BA121)*(125/365))</f>
        <v>2.6038356164383565</v>
      </c>
      <c r="CC121">
        <f>IF(BA121&lt;&gt;"NA",(10000/BA121)*(125/365),(10000/AZ121)*(125/365))</f>
        <v>3.9057534246575347</v>
      </c>
      <c r="CD121">
        <f>AE121/AVERAGE(AZ121,BA121)</f>
        <v>6.3999999999999987E-2</v>
      </c>
      <c r="CE121">
        <f>1.911*IF(AX121&lt;&gt;"NA", AVERAGE(AX121,AY121), AVERAGE(AZ121,BA121))</f>
        <v>1675.6102693602693</v>
      </c>
      <c r="CF121">
        <v>15</v>
      </c>
      <c r="CG121" s="27">
        <f>(CF121/N121)/IF(AX121&lt;&gt;"NA", AX121,AY121)</f>
        <v>0.33333333333333337</v>
      </c>
      <c r="CH121">
        <f>CF121/N121</f>
        <v>350.72951739618401</v>
      </c>
    </row>
    <row r="122" spans="1:86" ht="15.6" x14ac:dyDescent="0.3">
      <c r="A122">
        <v>121</v>
      </c>
      <c r="B122" s="20" t="s">
        <v>753</v>
      </c>
      <c r="C122" t="s">
        <v>134</v>
      </c>
      <c r="D122" s="24">
        <v>-2.3249240000000002</v>
      </c>
      <c r="E122" s="24">
        <v>28.796775</v>
      </c>
      <c r="F122" s="24">
        <v>1696</v>
      </c>
      <c r="G122" s="36" t="s">
        <v>319</v>
      </c>
      <c r="H122" s="36" t="s">
        <v>320</v>
      </c>
      <c r="I122" s="24">
        <v>63</v>
      </c>
      <c r="J122" s="24" t="s">
        <v>91</v>
      </c>
      <c r="K122" s="24" t="s">
        <v>754</v>
      </c>
      <c r="L122" s="24" t="s">
        <v>755</v>
      </c>
      <c r="M122" s="24">
        <f>45*42/10000</f>
        <v>0.189</v>
      </c>
      <c r="N122" s="24">
        <f t="shared" si="6"/>
        <v>0.189</v>
      </c>
      <c r="O122" s="24" t="s">
        <v>665</v>
      </c>
      <c r="P122" s="24" t="s">
        <v>93</v>
      </c>
      <c r="Q122" s="24">
        <v>45</v>
      </c>
      <c r="R122" s="31">
        <v>44809</v>
      </c>
      <c r="S122" s="31">
        <v>44956</v>
      </c>
      <c r="T122" s="24" t="s">
        <v>756</v>
      </c>
      <c r="U122" s="24" t="s">
        <v>757</v>
      </c>
      <c r="V122" s="24" t="s">
        <v>324</v>
      </c>
      <c r="W122" s="24">
        <v>20</v>
      </c>
      <c r="X122" s="24" t="s">
        <v>100</v>
      </c>
      <c r="Y122" s="24" t="s">
        <v>101</v>
      </c>
      <c r="Z122" s="24">
        <v>1</v>
      </c>
      <c r="AA122" s="24" t="s">
        <v>366</v>
      </c>
      <c r="AB122" s="24" t="s">
        <v>543</v>
      </c>
      <c r="AC122" s="24" t="s">
        <v>100</v>
      </c>
      <c r="AD122" s="24">
        <v>6</v>
      </c>
      <c r="AE122" s="24">
        <f t="shared" si="4"/>
        <v>70.546737213403873</v>
      </c>
      <c r="AF122" s="24" t="s">
        <v>96</v>
      </c>
      <c r="AG122" s="24" t="s">
        <v>101</v>
      </c>
      <c r="AH122" s="24" t="s">
        <v>563</v>
      </c>
      <c r="AI122" s="25" t="s">
        <v>90</v>
      </c>
      <c r="AJ122" s="24" t="s">
        <v>758</v>
      </c>
      <c r="AK122" s="24" t="s">
        <v>329</v>
      </c>
      <c r="AL122" s="24" t="s">
        <v>330</v>
      </c>
      <c r="AM122" s="24">
        <v>1</v>
      </c>
      <c r="AN122" s="24" t="s">
        <v>331</v>
      </c>
      <c r="AO122" s="25" t="s">
        <v>90</v>
      </c>
      <c r="AP122" s="24" t="s">
        <v>366</v>
      </c>
      <c r="AQ122" s="24" t="s">
        <v>648</v>
      </c>
      <c r="AR122" s="24" t="s">
        <v>96</v>
      </c>
      <c r="AS122" s="24" t="s">
        <v>96</v>
      </c>
      <c r="AT122" s="24" t="s">
        <v>759</v>
      </c>
      <c r="AU122" s="24" t="s">
        <v>96</v>
      </c>
      <c r="AV122" s="24" t="s">
        <v>335</v>
      </c>
      <c r="AW122" s="24" t="s">
        <v>336</v>
      </c>
      <c r="AX122" s="35">
        <f>(120/$M122)</f>
        <v>634.92063492063494</v>
      </c>
      <c r="AY122" s="50">
        <v>500</v>
      </c>
      <c r="AZ122" s="50">
        <f>AX122+AX122*((100-Q122)/100)</f>
        <v>984.1269841269841</v>
      </c>
      <c r="BA122" s="24" t="s">
        <v>90</v>
      </c>
      <c r="BB122" s="35">
        <f>(180/$N122)</f>
        <v>952.38095238095241</v>
      </c>
      <c r="BC122" s="24">
        <f>BB122+(BB122*Q122)/(100-Q122)</f>
        <v>1731.6017316017314</v>
      </c>
      <c r="BD122" s="24" t="s">
        <v>90</v>
      </c>
      <c r="BE122" s="24" t="s">
        <v>90</v>
      </c>
      <c r="BF122" s="24">
        <f>AX122/AZ122+BB122/BC122</f>
        <v>1.1951612903225808</v>
      </c>
      <c r="BG122" s="24">
        <v>1800</v>
      </c>
      <c r="BH122" s="24" t="s">
        <v>90</v>
      </c>
      <c r="BI122" s="25" t="s">
        <v>90</v>
      </c>
      <c r="BJ122" s="24" t="s">
        <v>543</v>
      </c>
      <c r="BK122" s="24" t="s">
        <v>383</v>
      </c>
      <c r="BL122" s="24">
        <v>14</v>
      </c>
      <c r="BM122" s="24" t="s">
        <v>599</v>
      </c>
      <c r="BN122" t="s">
        <v>110</v>
      </c>
      <c r="BO122">
        <v>0</v>
      </c>
      <c r="BP122" t="s">
        <v>132</v>
      </c>
      <c r="BQ122" t="s">
        <v>371</v>
      </c>
      <c r="BR122">
        <v>6.5</v>
      </c>
      <c r="BS122" s="24">
        <v>0.2782</v>
      </c>
      <c r="BT122" s="26">
        <v>38.481399340000003</v>
      </c>
      <c r="BU122" s="26">
        <v>61.518611399999998</v>
      </c>
      <c r="BV122" s="26">
        <v>0</v>
      </c>
      <c r="BW122" s="26" t="s">
        <v>453</v>
      </c>
      <c r="BX122" s="26">
        <v>63</v>
      </c>
      <c r="BY122" s="26">
        <v>110.824</v>
      </c>
      <c r="BZ122" s="26">
        <v>34.176000000000002</v>
      </c>
      <c r="CA122" s="26">
        <v>145</v>
      </c>
      <c r="CB122">
        <f>IF(AZ122&lt;&gt;"NA",(10000/AZ122)*(125/365),(10000/BA122)*(125/365))</f>
        <v>3.4798939460892622</v>
      </c>
      <c r="CC122">
        <f>IF(BA122&lt;&gt;"NA",(10000/BA122)*(125/365),(10000/AZ122)*(125/365))</f>
        <v>3.4798939460892622</v>
      </c>
      <c r="CD122">
        <f>AE122/AVERAGE(AZ122,BA122)</f>
        <v>7.1684587813620068E-2</v>
      </c>
      <c r="CE122">
        <f>1.911*IF(AX122&lt;&gt;"NA", AVERAGE(AX122,AY122), AVERAGE(AZ122,BA122))</f>
        <v>1084.4166666666667</v>
      </c>
      <c r="CF122">
        <v>40</v>
      </c>
      <c r="CG122" s="27">
        <f>(CF122/N122)/IF(AX122&lt;&gt;"NA", AX122,AY122)</f>
        <v>0.33333333333333331</v>
      </c>
      <c r="CH122">
        <f>CF122/N122</f>
        <v>211.64021164021165</v>
      </c>
    </row>
    <row r="123" spans="1:86" s="41" customFormat="1" ht="15.6" x14ac:dyDescent="0.3">
      <c r="A123" s="40">
        <v>122</v>
      </c>
      <c r="B123" s="20" t="s">
        <v>760</v>
      </c>
      <c r="C123" t="s">
        <v>87</v>
      </c>
      <c r="D123" s="42">
        <v>-2.2281819999999999</v>
      </c>
      <c r="E123" s="42">
        <v>28.818373000000001</v>
      </c>
      <c r="F123" s="43">
        <v>1697</v>
      </c>
      <c r="G123" s="36" t="s">
        <v>319</v>
      </c>
      <c r="H123" s="38" t="s">
        <v>320</v>
      </c>
      <c r="I123" s="41" t="s">
        <v>761</v>
      </c>
      <c r="J123" s="41" t="s">
        <v>762</v>
      </c>
      <c r="K123" s="41" t="s">
        <v>234</v>
      </c>
      <c r="L123" s="41" t="s">
        <v>763</v>
      </c>
      <c r="M123" s="44">
        <v>2</v>
      </c>
      <c r="N123" s="45">
        <f>(75*50)/10000</f>
        <v>0.375</v>
      </c>
      <c r="O123" s="41" t="s">
        <v>234</v>
      </c>
      <c r="P123" s="41" t="s">
        <v>764</v>
      </c>
      <c r="Q123" s="41">
        <v>60</v>
      </c>
      <c r="R123" s="46">
        <v>45174</v>
      </c>
      <c r="S123" s="46">
        <v>45327</v>
      </c>
      <c r="T123" s="41" t="s">
        <v>765</v>
      </c>
      <c r="U123" s="24" t="s">
        <v>766</v>
      </c>
      <c r="V123" s="41" t="s">
        <v>95</v>
      </c>
      <c r="W123" s="41">
        <v>20</v>
      </c>
      <c r="X123" s="47" t="s">
        <v>100</v>
      </c>
      <c r="Y123" s="48" t="s">
        <v>101</v>
      </c>
      <c r="Z123" s="47">
        <v>1</v>
      </c>
      <c r="AA123" t="s">
        <v>282</v>
      </c>
      <c r="AB123" t="s">
        <v>767</v>
      </c>
      <c r="AC123" s="41" t="s">
        <v>100</v>
      </c>
      <c r="AD123">
        <v>12</v>
      </c>
      <c r="AE123" s="24">
        <f t="shared" si="4"/>
        <v>53.333333333333329</v>
      </c>
      <c r="AF123" s="47" t="s">
        <v>100</v>
      </c>
      <c r="AG123" s="48" t="s">
        <v>101</v>
      </c>
      <c r="AH123" s="41" t="s">
        <v>768</v>
      </c>
      <c r="AI123" s="41" t="s">
        <v>103</v>
      </c>
      <c r="AJ123" s="47" t="s">
        <v>769</v>
      </c>
      <c r="AK123" s="41" t="s">
        <v>770</v>
      </c>
      <c r="AL123" s="47" t="s">
        <v>771</v>
      </c>
      <c r="AM123" s="41">
        <v>1</v>
      </c>
      <c r="AN123" t="s">
        <v>123</v>
      </c>
      <c r="AO123" s="41" t="s">
        <v>103</v>
      </c>
      <c r="AP123" s="41" t="s">
        <v>481</v>
      </c>
      <c r="AQ123" s="41" t="s">
        <v>772</v>
      </c>
      <c r="AS123" s="47" t="s">
        <v>100</v>
      </c>
      <c r="AT123" s="41" t="s">
        <v>773</v>
      </c>
      <c r="AU123" s="41" t="s">
        <v>95</v>
      </c>
      <c r="AV123" t="s">
        <v>774</v>
      </c>
      <c r="AW123" s="41" t="s">
        <v>775</v>
      </c>
      <c r="AX123" s="20">
        <f>(350/$N123)</f>
        <v>933.33333333333337</v>
      </c>
      <c r="AY123" s="52" t="s">
        <v>90</v>
      </c>
      <c r="AZ123" s="51">
        <f>AX123+AX123*((100-Q123)/100)</f>
        <v>1306.6666666666667</v>
      </c>
      <c r="BA123" t="s">
        <v>90</v>
      </c>
      <c r="BB123" s="20">
        <f>(500/$N123)</f>
        <v>1333.3333333333333</v>
      </c>
      <c r="BC123">
        <f>BB123+(BB123*Q123)/(100-Q123)</f>
        <v>3333.333333333333</v>
      </c>
      <c r="BD123" t="s">
        <v>90</v>
      </c>
      <c r="BE123" t="s">
        <v>90</v>
      </c>
      <c r="BF123">
        <f>AX123/AZ123+BB123/BC123</f>
        <v>1.1142857142857143</v>
      </c>
      <c r="BG123" s="47">
        <v>2500</v>
      </c>
      <c r="BH123" s="25" t="s">
        <v>90</v>
      </c>
      <c r="BI123" s="25" t="s">
        <v>90</v>
      </c>
      <c r="BJ123" s="47" t="s">
        <v>776</v>
      </c>
      <c r="BK123" s="41" t="s">
        <v>777</v>
      </c>
      <c r="BM123" s="41" t="s">
        <v>109</v>
      </c>
      <c r="BN123" s="47" t="s">
        <v>778</v>
      </c>
      <c r="BO123">
        <v>1</v>
      </c>
      <c r="BP123" s="47" t="s">
        <v>779</v>
      </c>
      <c r="BQ123" t="s">
        <v>569</v>
      </c>
      <c r="BR123">
        <v>5.6967057997222197</v>
      </c>
      <c r="BS123" s="24">
        <v>0.198373647571086</v>
      </c>
      <c r="BX123" s="26">
        <v>63</v>
      </c>
      <c r="BY123" s="26">
        <v>57.766218914924885</v>
      </c>
      <c r="BZ123" s="26">
        <v>87.233781085075123</v>
      </c>
      <c r="CA123" s="26">
        <v>145</v>
      </c>
      <c r="CB123">
        <f>IF(AZ123&lt;&gt;"NA",(10000/AZ123)*(125/365),(10000/BA123)*(125/365))</f>
        <v>2.62091137824993</v>
      </c>
      <c r="CC123">
        <f>IF(BA123&lt;&gt;"NA",(10000/BA123)*(125/365),(10000/AZ123)*(125/365))</f>
        <v>2.62091137824993</v>
      </c>
      <c r="CD123">
        <f>AE123/AVERAGE(AZ123,BA123)</f>
        <v>4.0816326530612242E-2</v>
      </c>
      <c r="CE123">
        <f>1.911*IF(AX123&lt;&gt;"NA", AVERAGE(AX123,AY123), AVERAGE(AZ123,BA123))</f>
        <v>1783.6000000000001</v>
      </c>
      <c r="CF123">
        <v>80</v>
      </c>
      <c r="CG123" s="27">
        <f>(CF123/N123)/IF(AX123&lt;&gt;"NA", AX123,AY123)</f>
        <v>0.22857142857142856</v>
      </c>
      <c r="CH123">
        <f>CF123/N123</f>
        <v>213.33333333333334</v>
      </c>
    </row>
    <row r="124" spans="1:86" s="41" customFormat="1" ht="15.6" x14ac:dyDescent="0.3">
      <c r="A124" s="40">
        <v>123</v>
      </c>
      <c r="B124" s="20" t="s">
        <v>780</v>
      </c>
      <c r="C124" t="s">
        <v>87</v>
      </c>
      <c r="D124" s="42">
        <v>-2.2330299999999998</v>
      </c>
      <c r="E124" s="42">
        <v>28.814554999999999</v>
      </c>
      <c r="F124" s="43">
        <v>1707</v>
      </c>
      <c r="G124" s="36" t="s">
        <v>319</v>
      </c>
      <c r="H124" s="38" t="s">
        <v>320</v>
      </c>
      <c r="I124" s="41" t="s">
        <v>781</v>
      </c>
      <c r="J124" s="41" t="s">
        <v>782</v>
      </c>
      <c r="K124" s="41" t="s">
        <v>783</v>
      </c>
      <c r="L124" s="41" t="s">
        <v>784</v>
      </c>
      <c r="M124" s="44">
        <f>150*50/10000</f>
        <v>0.75</v>
      </c>
      <c r="N124" s="45">
        <f>(50*50)/10000</f>
        <v>0.25</v>
      </c>
      <c r="O124" s="41" t="s">
        <v>138</v>
      </c>
      <c r="P124" s="41" t="s">
        <v>764</v>
      </c>
      <c r="Q124" s="41">
        <v>60</v>
      </c>
      <c r="R124" s="46">
        <v>45174</v>
      </c>
      <c r="S124" s="46">
        <v>45342</v>
      </c>
      <c r="T124" s="41" t="s">
        <v>785</v>
      </c>
      <c r="U124" s="24" t="s">
        <v>786</v>
      </c>
      <c r="V124" s="41" t="s">
        <v>95</v>
      </c>
      <c r="W124" s="41">
        <v>20</v>
      </c>
      <c r="X124" s="47" t="s">
        <v>100</v>
      </c>
      <c r="Y124" s="48" t="s">
        <v>101</v>
      </c>
      <c r="Z124" s="47">
        <v>2</v>
      </c>
      <c r="AA124" t="s">
        <v>282</v>
      </c>
      <c r="AB124" t="s">
        <v>142</v>
      </c>
      <c r="AC124" s="41" t="s">
        <v>100</v>
      </c>
      <c r="AD124">
        <v>8</v>
      </c>
      <c r="AE124" s="24">
        <f t="shared" si="4"/>
        <v>53.333333333333336</v>
      </c>
      <c r="AF124" s="47" t="s">
        <v>100</v>
      </c>
      <c r="AG124" s="48" t="s">
        <v>101</v>
      </c>
      <c r="AH124" s="41" t="s">
        <v>787</v>
      </c>
      <c r="AI124" s="41" t="s">
        <v>103</v>
      </c>
      <c r="AJ124" s="47" t="s">
        <v>769</v>
      </c>
      <c r="AK124" s="41" t="s">
        <v>210</v>
      </c>
      <c r="AL124" s="47" t="s">
        <v>788</v>
      </c>
      <c r="AM124" s="41">
        <v>0.5</v>
      </c>
      <c r="AN124" t="s">
        <v>123</v>
      </c>
      <c r="AO124" s="41" t="s">
        <v>103</v>
      </c>
      <c r="AP124" s="41" t="s">
        <v>481</v>
      </c>
      <c r="AQ124" s="41" t="s">
        <v>772</v>
      </c>
      <c r="AS124" s="47" t="s">
        <v>100</v>
      </c>
      <c r="AT124" s="41" t="s">
        <v>103</v>
      </c>
      <c r="AU124" s="41" t="s">
        <v>95</v>
      </c>
      <c r="AV124" t="s">
        <v>774</v>
      </c>
      <c r="AW124" s="41" t="s">
        <v>775</v>
      </c>
      <c r="AX124" s="20" t="s">
        <v>90</v>
      </c>
      <c r="AY124" s="52">
        <f>(200/$N124)</f>
        <v>800</v>
      </c>
      <c r="AZ124" s="51" t="s">
        <v>90</v>
      </c>
      <c r="BA124">
        <f>AY124+AY124*((100-Q124)/100)</f>
        <v>1120</v>
      </c>
      <c r="BB124" s="20" t="s">
        <v>90</v>
      </c>
      <c r="BC124" t="s">
        <v>90</v>
      </c>
      <c r="BD124" s="24">
        <f>170/$N124</f>
        <v>680</v>
      </c>
      <c r="BE124" s="24">
        <f>BD124+(BD124*Q124)/(100-Q124)</f>
        <v>1700</v>
      </c>
      <c r="BF124">
        <f>AY124/BA124+BD124/BE124</f>
        <v>1.1142857142857143</v>
      </c>
      <c r="BG124" s="47">
        <v>2000</v>
      </c>
      <c r="BH124" s="25" t="s">
        <v>90</v>
      </c>
      <c r="BI124" s="25" t="s">
        <v>90</v>
      </c>
      <c r="BJ124" s="47" t="s">
        <v>789</v>
      </c>
      <c r="BK124" s="41" t="s">
        <v>777</v>
      </c>
      <c r="BM124" s="41" t="s">
        <v>109</v>
      </c>
      <c r="BN124" s="47" t="s">
        <v>790</v>
      </c>
      <c r="BO124">
        <v>0</v>
      </c>
      <c r="BP124" t="s">
        <v>132</v>
      </c>
      <c r="BQ124" t="s">
        <v>371</v>
      </c>
      <c r="BR124">
        <v>5.7521199804642196</v>
      </c>
      <c r="BS124" s="24">
        <v>0.188994538599771</v>
      </c>
      <c r="BX124" s="26">
        <v>63</v>
      </c>
      <c r="BY124" s="26">
        <v>43.303199999999997</v>
      </c>
      <c r="BZ124" s="26">
        <v>101.6968</v>
      </c>
      <c r="CA124" s="26">
        <v>145</v>
      </c>
      <c r="CB124">
        <f>IF(AZ124&lt;&gt;"NA",(10000/AZ124)*(125/365),(10000/BA124)*(125/365))</f>
        <v>3.0577299412915853</v>
      </c>
      <c r="CC124">
        <f>IF(BA124&lt;&gt;"NA",(10000/BA124)*(125/365),(10000/AZ124)*(125/365))</f>
        <v>3.0577299412915853</v>
      </c>
      <c r="CD124">
        <f>AE124/AVERAGE(AZ124,BA124)</f>
        <v>4.7619047619047623E-2</v>
      </c>
      <c r="CE124">
        <f>1.911*IF(AX124&lt;&gt;"NA", AVERAGE(AX124,AY124), AVERAGE(AZ124,BA124))</f>
        <v>2140.3200000000002</v>
      </c>
      <c r="CF124">
        <v>70</v>
      </c>
      <c r="CG124" s="27">
        <f>(CF124/N124)/IF(AX124&lt;&gt;"NA", AX124,AY124)</f>
        <v>0.35</v>
      </c>
      <c r="CH124">
        <f>CF124/N124</f>
        <v>280</v>
      </c>
    </row>
    <row r="125" spans="1:86" s="41" customFormat="1" ht="15.6" x14ac:dyDescent="0.3">
      <c r="A125" s="40">
        <v>124</v>
      </c>
      <c r="B125" s="20" t="s">
        <v>791</v>
      </c>
      <c r="C125" t="s">
        <v>87</v>
      </c>
      <c r="D125" s="42">
        <v>-2.2275849999999999</v>
      </c>
      <c r="E125" s="42">
        <v>28.820001000000001</v>
      </c>
      <c r="F125" s="43">
        <v>1695</v>
      </c>
      <c r="G125" s="36" t="s">
        <v>319</v>
      </c>
      <c r="H125" s="38" t="s">
        <v>320</v>
      </c>
      <c r="I125" s="41" t="s">
        <v>761</v>
      </c>
      <c r="J125" s="41" t="s">
        <v>762</v>
      </c>
      <c r="K125" s="41" t="s">
        <v>234</v>
      </c>
      <c r="L125" s="41" t="s">
        <v>792</v>
      </c>
      <c r="M125" s="44">
        <f>50*50/10000</f>
        <v>0.25</v>
      </c>
      <c r="N125" s="45">
        <f>(60*30)/10000</f>
        <v>0.18</v>
      </c>
      <c r="O125" s="41" t="s">
        <v>234</v>
      </c>
      <c r="P125" s="41" t="s">
        <v>764</v>
      </c>
      <c r="Q125" s="41">
        <v>60</v>
      </c>
      <c r="R125" s="46">
        <v>45170</v>
      </c>
      <c r="S125" s="46">
        <v>45323</v>
      </c>
      <c r="T125" s="41" t="s">
        <v>793</v>
      </c>
      <c r="U125" t="s">
        <v>794</v>
      </c>
      <c r="V125" s="41" t="s">
        <v>95</v>
      </c>
      <c r="W125" s="41">
        <v>20</v>
      </c>
      <c r="X125" s="47" t="s">
        <v>100</v>
      </c>
      <c r="Y125" s="48" t="s">
        <v>101</v>
      </c>
      <c r="Z125" s="47">
        <v>2</v>
      </c>
      <c r="AA125" t="s">
        <v>282</v>
      </c>
      <c r="AB125" t="s">
        <v>767</v>
      </c>
      <c r="AC125" s="41" t="s">
        <v>100</v>
      </c>
      <c r="AD125">
        <v>8</v>
      </c>
      <c r="AE125" s="24">
        <f t="shared" si="4"/>
        <v>74.07407407407409</v>
      </c>
      <c r="AF125" s="47" t="s">
        <v>100</v>
      </c>
      <c r="AG125" s="48" t="s">
        <v>101</v>
      </c>
      <c r="AH125" s="41" t="s">
        <v>795</v>
      </c>
      <c r="AI125" s="41" t="s">
        <v>103</v>
      </c>
      <c r="AJ125" s="47" t="s">
        <v>769</v>
      </c>
      <c r="AK125" s="41" t="s">
        <v>796</v>
      </c>
      <c r="AL125" s="47" t="s">
        <v>788</v>
      </c>
      <c r="AM125" s="41">
        <v>2</v>
      </c>
      <c r="AN125" t="s">
        <v>123</v>
      </c>
      <c r="AO125" s="41" t="s">
        <v>103</v>
      </c>
      <c r="AP125" s="41" t="s">
        <v>481</v>
      </c>
      <c r="AQ125" s="41" t="s">
        <v>100</v>
      </c>
      <c r="AS125" s="47" t="s">
        <v>95</v>
      </c>
      <c r="AT125" s="41" t="s">
        <v>797</v>
      </c>
      <c r="AU125" s="41" t="s">
        <v>100</v>
      </c>
      <c r="AV125" t="s">
        <v>798</v>
      </c>
      <c r="AW125" s="41" t="s">
        <v>799</v>
      </c>
      <c r="AX125" s="20">
        <f>(150/$N125)</f>
        <v>833.33333333333337</v>
      </c>
      <c r="AY125" s="52" t="s">
        <v>90</v>
      </c>
      <c r="AZ125" s="51">
        <f>AX125+AX125*((100-Q125)/100)</f>
        <v>1166.6666666666667</v>
      </c>
      <c r="BA125" t="s">
        <v>90</v>
      </c>
      <c r="BB125" s="20">
        <f>(60/$N125)</f>
        <v>333.33333333333337</v>
      </c>
      <c r="BC125">
        <f>BB125+(BB125*Q125)/(100-Q125)</f>
        <v>833.33333333333348</v>
      </c>
      <c r="BD125" s="24">
        <f>100/$N125</f>
        <v>555.55555555555554</v>
      </c>
      <c r="BE125" s="24">
        <f>BD125+(BD125*Q125)/(100-Q125)</f>
        <v>1388.8888888888889</v>
      </c>
      <c r="BF125">
        <f>AX125/AZ125+BB125/BC125</f>
        <v>1.1142857142857143</v>
      </c>
      <c r="BG125" s="47">
        <v>1800</v>
      </c>
      <c r="BH125" s="24" t="s">
        <v>90</v>
      </c>
      <c r="BI125" s="25" t="s">
        <v>90</v>
      </c>
      <c r="BJ125" s="47" t="s">
        <v>776</v>
      </c>
      <c r="BK125" s="41" t="s">
        <v>777</v>
      </c>
      <c r="BM125" s="41" t="s">
        <v>109</v>
      </c>
      <c r="BN125" s="47" t="s">
        <v>778</v>
      </c>
      <c r="BO125">
        <v>1</v>
      </c>
      <c r="BP125" s="47" t="s">
        <v>779</v>
      </c>
      <c r="BQ125" t="s">
        <v>569</v>
      </c>
      <c r="BR125">
        <v>5.7104086736647401</v>
      </c>
      <c r="BS125" s="24">
        <v>0.19748810098386699</v>
      </c>
      <c r="BX125" s="26">
        <v>63</v>
      </c>
      <c r="BY125" s="26">
        <v>47.971199999999996</v>
      </c>
      <c r="BZ125" s="26">
        <v>97.028800000000004</v>
      </c>
      <c r="CA125" s="26">
        <v>145</v>
      </c>
      <c r="CB125">
        <f>IF(AZ125&lt;&gt;"NA",(10000/AZ125)*(125/365),(10000/BA125)*(125/365))</f>
        <v>2.9354207436399213</v>
      </c>
      <c r="CC125">
        <f>IF(BA125&lt;&gt;"NA",(10000/BA125)*(125/365),(10000/AZ125)*(125/365))</f>
        <v>2.9354207436399213</v>
      </c>
      <c r="CD125">
        <f>AE125/AVERAGE(AZ125,BA125)</f>
        <v>6.3492063492063502E-2</v>
      </c>
      <c r="CE125">
        <f>1.911*IF(AX125&lt;&gt;"NA", AVERAGE(AX125,AY125), AVERAGE(AZ125,BA125))</f>
        <v>1592.5</v>
      </c>
      <c r="CF125">
        <v>40</v>
      </c>
      <c r="CG125" s="27">
        <f>(CF125/N125)/IF(AX125&lt;&gt;"NA", AX125,AY125)</f>
        <v>0.26666666666666666</v>
      </c>
      <c r="CH125">
        <f>CF125/N125</f>
        <v>222.22222222222223</v>
      </c>
    </row>
    <row r="126" spans="1:86" s="41" customFormat="1" ht="15.6" x14ac:dyDescent="0.3">
      <c r="A126" s="40">
        <v>125</v>
      </c>
      <c r="B126" s="20" t="s">
        <v>800</v>
      </c>
      <c r="C126" t="s">
        <v>87</v>
      </c>
      <c r="D126" s="42">
        <v>-2.2149109999999999</v>
      </c>
      <c r="E126" s="42">
        <v>28.834101</v>
      </c>
      <c r="F126" s="43">
        <v>1599</v>
      </c>
      <c r="G126" s="36" t="s">
        <v>319</v>
      </c>
      <c r="H126" s="38" t="s">
        <v>320</v>
      </c>
      <c r="I126" s="41" t="s">
        <v>781</v>
      </c>
      <c r="J126" s="41" t="s">
        <v>782</v>
      </c>
      <c r="K126" s="41" t="s">
        <v>92</v>
      </c>
      <c r="L126" s="41" t="s">
        <v>92</v>
      </c>
      <c r="M126" s="44" t="s">
        <v>90</v>
      </c>
      <c r="N126" s="45">
        <f>(20*30)/10000</f>
        <v>0.06</v>
      </c>
      <c r="O126" s="41" t="s">
        <v>92</v>
      </c>
      <c r="P126" s="41" t="s">
        <v>93</v>
      </c>
      <c r="Q126" s="41">
        <v>100</v>
      </c>
      <c r="R126" s="46">
        <v>45170</v>
      </c>
      <c r="S126" s="46">
        <v>45323</v>
      </c>
      <c r="T126" s="41" t="s">
        <v>801</v>
      </c>
      <c r="U126" s="24" t="s">
        <v>802</v>
      </c>
      <c r="V126" s="41" t="s">
        <v>95</v>
      </c>
      <c r="W126" s="41">
        <v>20</v>
      </c>
      <c r="X126" s="47" t="s">
        <v>100</v>
      </c>
      <c r="Y126" s="48" t="s">
        <v>101</v>
      </c>
      <c r="Z126" s="47">
        <v>1</v>
      </c>
      <c r="AA126" t="s">
        <v>282</v>
      </c>
      <c r="AB126" t="s">
        <v>142</v>
      </c>
      <c r="AC126" s="41" t="s">
        <v>100</v>
      </c>
      <c r="AD126">
        <v>5</v>
      </c>
      <c r="AE126" s="24">
        <f t="shared" si="4"/>
        <v>83.333333333333343</v>
      </c>
      <c r="AF126" s="47" t="s">
        <v>100</v>
      </c>
      <c r="AG126" s="48" t="s">
        <v>101</v>
      </c>
      <c r="AH126" s="41" t="s">
        <v>102</v>
      </c>
      <c r="AI126" s="41" t="s">
        <v>103</v>
      </c>
      <c r="AJ126" s="47" t="s">
        <v>769</v>
      </c>
      <c r="AK126" s="41" t="s">
        <v>210</v>
      </c>
      <c r="AL126" s="47" t="s">
        <v>788</v>
      </c>
      <c r="AM126" s="41">
        <v>1</v>
      </c>
      <c r="AN126" t="s">
        <v>123</v>
      </c>
      <c r="AO126" s="41" t="s">
        <v>103</v>
      </c>
      <c r="AP126" s="41" t="s">
        <v>481</v>
      </c>
      <c r="AQ126" s="41" t="s">
        <v>100</v>
      </c>
      <c r="AS126" s="47" t="s">
        <v>95</v>
      </c>
      <c r="AT126" s="41" t="s">
        <v>773</v>
      </c>
      <c r="AU126" s="41" t="s">
        <v>100</v>
      </c>
      <c r="AV126" t="s">
        <v>774</v>
      </c>
      <c r="AW126" s="41" t="s">
        <v>775</v>
      </c>
      <c r="AX126" s="20">
        <f>(45/$N126)</f>
        <v>750</v>
      </c>
      <c r="AY126" s="52">
        <f>(30/$N126)</f>
        <v>500</v>
      </c>
      <c r="AZ126" s="51">
        <f>AX126+AX126*((100-Q126)/100)</f>
        <v>750</v>
      </c>
      <c r="BA126">
        <f>AY126+AY126*((100-Q126)/100)</f>
        <v>500</v>
      </c>
      <c r="BB126" s="20" t="s">
        <v>90</v>
      </c>
      <c r="BC126" t="s">
        <v>90</v>
      </c>
      <c r="BD126" t="s">
        <v>90</v>
      </c>
      <c r="BE126" t="s">
        <v>90</v>
      </c>
      <c r="BF126">
        <v>1</v>
      </c>
      <c r="BG126" s="47">
        <v>2500</v>
      </c>
      <c r="BH126" s="25" t="s">
        <v>90</v>
      </c>
      <c r="BI126" s="25" t="s">
        <v>90</v>
      </c>
      <c r="BJ126" s="47" t="s">
        <v>789</v>
      </c>
      <c r="BK126" s="41" t="s">
        <v>777</v>
      </c>
      <c r="BM126" s="41" t="s">
        <v>109</v>
      </c>
      <c r="BN126" s="47" t="s">
        <v>790</v>
      </c>
      <c r="BO126">
        <v>0</v>
      </c>
      <c r="BP126" t="s">
        <v>132</v>
      </c>
      <c r="BQ126" t="s">
        <v>371</v>
      </c>
      <c r="BR126">
        <v>5.7289030404038304</v>
      </c>
      <c r="BS126" s="24">
        <v>0.17599543549013</v>
      </c>
      <c r="BX126" s="26">
        <v>63</v>
      </c>
      <c r="BY126" s="26">
        <v>50.816511958151992</v>
      </c>
      <c r="BZ126" s="26">
        <v>94.183488041848008</v>
      </c>
      <c r="CA126" s="26">
        <v>145</v>
      </c>
      <c r="CB126">
        <f>IF(AZ126&lt;&gt;"NA",(10000/AZ126)*(125/365),(10000/BA126)*(125/365))</f>
        <v>4.5662100456621006</v>
      </c>
      <c r="CC126">
        <f>IF(BA126&lt;&gt;"NA",(10000/BA126)*(125/365),(10000/AZ126)*(125/365))</f>
        <v>6.8493150684931505</v>
      </c>
      <c r="CD126">
        <f>AE126/AVERAGE(AZ126,BA126)</f>
        <v>0.13333333333333336</v>
      </c>
      <c r="CE126">
        <f>1.911*IF(AX126&lt;&gt;"NA", AVERAGE(AX126,AY126), AVERAGE(AZ126,BA126))</f>
        <v>1194.375</v>
      </c>
      <c r="CF126">
        <v>30</v>
      </c>
      <c r="CG126" s="27">
        <f>(CF126/N126)/IF(AX126&lt;&gt;"NA", AX126,AY126)</f>
        <v>0.66666666666666663</v>
      </c>
      <c r="CH126">
        <f>CF126/N126</f>
        <v>500</v>
      </c>
    </row>
    <row r="127" spans="1:86" s="41" customFormat="1" ht="15.6" x14ac:dyDescent="0.3">
      <c r="A127" s="40">
        <v>126</v>
      </c>
      <c r="B127" s="20" t="s">
        <v>803</v>
      </c>
      <c r="C127" t="s">
        <v>87</v>
      </c>
      <c r="D127" s="42">
        <v>-2.1787749999999999</v>
      </c>
      <c r="E127" s="42">
        <v>28.861433000000002</v>
      </c>
      <c r="F127" s="43">
        <v>1490</v>
      </c>
      <c r="G127" s="36" t="s">
        <v>319</v>
      </c>
      <c r="H127" s="38" t="s">
        <v>320</v>
      </c>
      <c r="I127" s="41" t="s">
        <v>804</v>
      </c>
      <c r="J127" s="41" t="s">
        <v>762</v>
      </c>
      <c r="K127" s="41" t="s">
        <v>763</v>
      </c>
      <c r="L127" s="41" t="s">
        <v>234</v>
      </c>
      <c r="M127" s="44">
        <f>80*60/10000</f>
        <v>0.48</v>
      </c>
      <c r="N127" s="45">
        <f>(50*50)/10000</f>
        <v>0.25</v>
      </c>
      <c r="O127" s="41" t="s">
        <v>234</v>
      </c>
      <c r="P127" s="41" t="s">
        <v>764</v>
      </c>
      <c r="Q127" s="41">
        <v>70</v>
      </c>
      <c r="R127" s="46">
        <v>45189</v>
      </c>
      <c r="S127" s="46">
        <v>45337</v>
      </c>
      <c r="T127" s="41" t="s">
        <v>765</v>
      </c>
      <c r="U127" t="s">
        <v>365</v>
      </c>
      <c r="V127" s="41" t="s">
        <v>95</v>
      </c>
      <c r="W127" s="41">
        <v>20</v>
      </c>
      <c r="X127" s="47" t="s">
        <v>100</v>
      </c>
      <c r="Y127" s="48" t="s">
        <v>101</v>
      </c>
      <c r="Z127" s="47">
        <v>2</v>
      </c>
      <c r="AA127" t="s">
        <v>282</v>
      </c>
      <c r="AB127" t="s">
        <v>142</v>
      </c>
      <c r="AC127" s="41" t="s">
        <v>100</v>
      </c>
      <c r="AD127">
        <v>7</v>
      </c>
      <c r="AE127" s="24">
        <f t="shared" si="4"/>
        <v>40</v>
      </c>
      <c r="AF127" s="47" t="s">
        <v>100</v>
      </c>
      <c r="AG127" s="48" t="s">
        <v>101</v>
      </c>
      <c r="AH127" s="41" t="s">
        <v>805</v>
      </c>
      <c r="AI127" s="41" t="s">
        <v>103</v>
      </c>
      <c r="AJ127" s="47" t="s">
        <v>769</v>
      </c>
      <c r="AK127" s="41" t="s">
        <v>210</v>
      </c>
      <c r="AL127" s="47" t="s">
        <v>806</v>
      </c>
      <c r="AM127" s="41">
        <v>1</v>
      </c>
      <c r="AN127" t="s">
        <v>123</v>
      </c>
      <c r="AO127" s="41" t="s">
        <v>103</v>
      </c>
      <c r="AP127" s="41" t="s">
        <v>103</v>
      </c>
      <c r="AQ127" s="41" t="s">
        <v>772</v>
      </c>
      <c r="AS127" s="47" t="s">
        <v>100</v>
      </c>
      <c r="AT127" s="41" t="s">
        <v>103</v>
      </c>
      <c r="AU127" s="41" t="s">
        <v>100</v>
      </c>
      <c r="AV127" t="s">
        <v>774</v>
      </c>
      <c r="AW127" s="41" t="s">
        <v>775</v>
      </c>
      <c r="AX127" s="41" t="s">
        <v>90</v>
      </c>
      <c r="AY127" s="52">
        <f>(120/$N127)</f>
        <v>480</v>
      </c>
      <c r="AZ127" s="51" t="s">
        <v>90</v>
      </c>
      <c r="BA127">
        <f>AY127+AY127*((100-Q127)/100)</f>
        <v>624</v>
      </c>
      <c r="BB127" s="20">
        <f>(500/$N127)</f>
        <v>2000</v>
      </c>
      <c r="BC127">
        <f>BB127+(BB127*Q127)/(100-Q127)</f>
        <v>6666.666666666667</v>
      </c>
      <c r="BD127" t="s">
        <v>90</v>
      </c>
      <c r="BE127" t="s">
        <v>90</v>
      </c>
      <c r="BF127">
        <f>AY127/BA127+BB127/BC127</f>
        <v>1.0692307692307692</v>
      </c>
      <c r="BG127" s="47">
        <v>2000</v>
      </c>
      <c r="BH127" s="25" t="s">
        <v>90</v>
      </c>
      <c r="BI127" s="25" t="s">
        <v>90</v>
      </c>
      <c r="BJ127" s="47" t="s">
        <v>789</v>
      </c>
      <c r="BK127" s="41" t="s">
        <v>777</v>
      </c>
      <c r="BM127" s="41" t="s">
        <v>109</v>
      </c>
      <c r="BN127" s="47" t="s">
        <v>790</v>
      </c>
      <c r="BO127">
        <v>0</v>
      </c>
      <c r="BP127" t="s">
        <v>132</v>
      </c>
      <c r="BQ127" t="s">
        <v>371</v>
      </c>
      <c r="BR127">
        <v>5.7057109237828101</v>
      </c>
      <c r="BS127" s="24">
        <v>0.173008156024063</v>
      </c>
      <c r="BX127" s="26">
        <v>63</v>
      </c>
      <c r="BY127" s="26">
        <v>34.68</v>
      </c>
      <c r="BZ127" s="26">
        <v>110.32</v>
      </c>
      <c r="CA127" s="26">
        <v>145</v>
      </c>
      <c r="CB127">
        <f>IF(AZ127&lt;&gt;"NA",(10000/AZ127)*(125/365),(10000/BA127)*(125/365))</f>
        <v>5.4882332279592552</v>
      </c>
      <c r="CC127">
        <f>IF(BA127&lt;&gt;"NA",(10000/BA127)*(125/365),(10000/AZ127)*(125/365))</f>
        <v>5.4882332279592552</v>
      </c>
      <c r="CD127">
        <f>AE127/AVERAGE(AZ127,BA127)</f>
        <v>6.4102564102564097E-2</v>
      </c>
      <c r="CE127">
        <f>1.911*IF(AX127&lt;&gt;"NA", AVERAGE(AX127,AY127), AVERAGE(AZ127,BA127))</f>
        <v>1192.4639999999999</v>
      </c>
      <c r="CF127">
        <v>60</v>
      </c>
      <c r="CG127" s="27">
        <f>(CF127/N127)/IF(AX127&lt;&gt;"NA", AX127,AY127)</f>
        <v>0.5</v>
      </c>
      <c r="CH127">
        <f>CF127/N127</f>
        <v>240</v>
      </c>
    </row>
    <row r="128" spans="1:86" s="41" customFormat="1" ht="15.6" x14ac:dyDescent="0.3">
      <c r="A128" s="40">
        <v>127</v>
      </c>
      <c r="B128" s="20" t="s">
        <v>807</v>
      </c>
      <c r="C128" t="s">
        <v>87</v>
      </c>
      <c r="D128" s="42">
        <v>-2.2212779999999999</v>
      </c>
      <c r="E128" s="42">
        <v>28.819099000000001</v>
      </c>
      <c r="F128" s="43">
        <v>1705</v>
      </c>
      <c r="G128" s="36" t="s">
        <v>319</v>
      </c>
      <c r="H128" s="38" t="s">
        <v>320</v>
      </c>
      <c r="I128" s="41" t="s">
        <v>804</v>
      </c>
      <c r="J128" s="41" t="s">
        <v>782</v>
      </c>
      <c r="K128" s="41" t="s">
        <v>92</v>
      </c>
      <c r="L128" s="41" t="s">
        <v>808</v>
      </c>
      <c r="M128" s="44">
        <f>200*100/10000</f>
        <v>2</v>
      </c>
      <c r="N128" s="45">
        <f>(100*100)/10000</f>
        <v>1</v>
      </c>
      <c r="O128" s="41" t="s">
        <v>92</v>
      </c>
      <c r="P128" s="41" t="s">
        <v>764</v>
      </c>
      <c r="Q128" s="41">
        <v>100</v>
      </c>
      <c r="R128" s="46">
        <v>45184</v>
      </c>
      <c r="S128" s="46">
        <v>45334</v>
      </c>
      <c r="T128" s="41" t="s">
        <v>801</v>
      </c>
      <c r="U128" t="s">
        <v>794</v>
      </c>
      <c r="V128" s="41" t="s">
        <v>95</v>
      </c>
      <c r="W128" s="41">
        <v>20</v>
      </c>
      <c r="X128" s="47" t="s">
        <v>100</v>
      </c>
      <c r="Y128" s="48" t="s">
        <v>101</v>
      </c>
      <c r="Z128" s="47">
        <v>2</v>
      </c>
      <c r="AA128" t="s">
        <v>282</v>
      </c>
      <c r="AB128" t="s">
        <v>142</v>
      </c>
      <c r="AC128" s="41" t="s">
        <v>100</v>
      </c>
      <c r="AD128">
        <v>80</v>
      </c>
      <c r="AE128" s="24">
        <f t="shared" si="4"/>
        <v>80</v>
      </c>
      <c r="AF128" s="47" t="s">
        <v>100</v>
      </c>
      <c r="AG128" s="48" t="s">
        <v>101</v>
      </c>
      <c r="AH128" s="41" t="s">
        <v>805</v>
      </c>
      <c r="AI128" s="41" t="s">
        <v>103</v>
      </c>
      <c r="AJ128" s="47" t="s">
        <v>769</v>
      </c>
      <c r="AK128" s="41" t="s">
        <v>210</v>
      </c>
      <c r="AL128" s="47" t="s">
        <v>806</v>
      </c>
      <c r="AM128" s="41">
        <v>1</v>
      </c>
      <c r="AN128" t="s">
        <v>123</v>
      </c>
      <c r="AO128" s="41" t="s">
        <v>103</v>
      </c>
      <c r="AP128" s="41" t="s">
        <v>809</v>
      </c>
      <c r="AQ128" s="41" t="s">
        <v>100</v>
      </c>
      <c r="AS128" s="47" t="s">
        <v>100</v>
      </c>
      <c r="AT128" s="41" t="s">
        <v>103</v>
      </c>
      <c r="AU128" s="41" t="s">
        <v>95</v>
      </c>
      <c r="AV128" t="s">
        <v>810</v>
      </c>
      <c r="AW128" s="41" t="s">
        <v>811</v>
      </c>
      <c r="AX128" s="20">
        <f>(650/$N128)</f>
        <v>650</v>
      </c>
      <c r="AY128" s="52" t="s">
        <v>90</v>
      </c>
      <c r="AZ128" s="51">
        <f>AX128+AX128*((100-Q128)/100)</f>
        <v>650</v>
      </c>
      <c r="BA128" t="s">
        <v>90</v>
      </c>
      <c r="BB128" s="20" t="s">
        <v>90</v>
      </c>
      <c r="BC128" t="s">
        <v>90</v>
      </c>
      <c r="BD128" t="s">
        <v>90</v>
      </c>
      <c r="BE128" t="s">
        <v>90</v>
      </c>
      <c r="BF128">
        <v>1</v>
      </c>
      <c r="BG128" s="47">
        <v>3000</v>
      </c>
      <c r="BH128" s="24" t="s">
        <v>90</v>
      </c>
      <c r="BI128" s="25" t="s">
        <v>90</v>
      </c>
      <c r="BJ128" s="47" t="s">
        <v>776</v>
      </c>
      <c r="BK128" s="41" t="s">
        <v>777</v>
      </c>
      <c r="BM128" s="41" t="s">
        <v>109</v>
      </c>
      <c r="BN128" s="47" t="s">
        <v>812</v>
      </c>
      <c r="BO128">
        <v>1</v>
      </c>
      <c r="BP128" s="47" t="s">
        <v>779</v>
      </c>
      <c r="BQ128" t="s">
        <v>569</v>
      </c>
      <c r="BR128">
        <v>6.19</v>
      </c>
      <c r="BS128" s="24">
        <v>0.21579999999999999</v>
      </c>
      <c r="BT128" s="26">
        <v>35.09131696</v>
      </c>
      <c r="BU128" s="26">
        <v>54.739829999999998</v>
      </c>
      <c r="BV128" s="26">
        <v>10.168862900000001</v>
      </c>
      <c r="BW128" s="26" t="s">
        <v>453</v>
      </c>
      <c r="BX128" s="26">
        <v>63</v>
      </c>
      <c r="BY128" s="26">
        <v>70.823999999999998</v>
      </c>
      <c r="BZ128" s="26">
        <v>74.176000000000002</v>
      </c>
      <c r="CA128" s="26">
        <v>145</v>
      </c>
      <c r="CB128">
        <f>IF(AZ128&lt;&gt;"NA",(10000/AZ128)*(125/365),(10000/BA128)*(125/365))</f>
        <v>5.2687038988408847</v>
      </c>
      <c r="CC128">
        <f>IF(BA128&lt;&gt;"NA",(10000/BA128)*(125/365),(10000/AZ128)*(125/365))</f>
        <v>5.2687038988408847</v>
      </c>
      <c r="CD128">
        <f>AE128/AVERAGE(AZ128,BA128)</f>
        <v>0.12307692307692308</v>
      </c>
      <c r="CE128">
        <f>1.911*IF(AX128&lt;&gt;"NA", AVERAGE(AX128,AY128), AVERAGE(AZ128,BA128))</f>
        <v>1242.1500000000001</v>
      </c>
      <c r="CF128">
        <v>300</v>
      </c>
      <c r="CG128" s="27">
        <f>(CF128/N128)/IF(AX128&lt;&gt;"NA", AX128,AY128)</f>
        <v>0.46153846153846156</v>
      </c>
      <c r="CH128">
        <f>CF128/N128</f>
        <v>300</v>
      </c>
    </row>
    <row r="129" spans="1:86" s="41" customFormat="1" ht="15.6" x14ac:dyDescent="0.3">
      <c r="A129" s="40">
        <v>128</v>
      </c>
      <c r="B129" s="20" t="s">
        <v>813</v>
      </c>
      <c r="C129" t="s">
        <v>87</v>
      </c>
      <c r="D129" s="28">
        <v>-2.2166570000000001</v>
      </c>
      <c r="E129" s="42">
        <v>28.81493</v>
      </c>
      <c r="F129" s="43">
        <v>1741</v>
      </c>
      <c r="G129" s="36" t="s">
        <v>319</v>
      </c>
      <c r="H129" s="38" t="s">
        <v>320</v>
      </c>
      <c r="I129" s="41" t="s">
        <v>761</v>
      </c>
      <c r="J129" s="41" t="s">
        <v>782</v>
      </c>
      <c r="K129" s="41" t="s">
        <v>194</v>
      </c>
      <c r="L129" s="41" t="s">
        <v>814</v>
      </c>
      <c r="M129" s="44" t="s">
        <v>90</v>
      </c>
      <c r="N129" s="45">
        <f>(40*30)/10000</f>
        <v>0.12</v>
      </c>
      <c r="O129" s="41" t="s">
        <v>234</v>
      </c>
      <c r="P129" s="41" t="s">
        <v>764</v>
      </c>
      <c r="Q129" s="41">
        <v>60</v>
      </c>
      <c r="R129" s="46">
        <v>45174</v>
      </c>
      <c r="S129" s="46">
        <v>45323</v>
      </c>
      <c r="T129" s="41" t="s">
        <v>765</v>
      </c>
      <c r="U129" t="s">
        <v>428</v>
      </c>
      <c r="V129" s="41" t="s">
        <v>95</v>
      </c>
      <c r="W129" s="41">
        <v>20</v>
      </c>
      <c r="X129" s="47" t="s">
        <v>100</v>
      </c>
      <c r="Y129" s="48" t="s">
        <v>101</v>
      </c>
      <c r="Z129" s="47">
        <v>2</v>
      </c>
      <c r="AA129" t="s">
        <v>282</v>
      </c>
      <c r="AB129" t="s">
        <v>767</v>
      </c>
      <c r="AC129" s="41" t="s">
        <v>100</v>
      </c>
      <c r="AD129">
        <v>5</v>
      </c>
      <c r="AE129" s="24">
        <f t="shared" si="4"/>
        <v>69.444444444444443</v>
      </c>
      <c r="AF129" s="47" t="s">
        <v>100</v>
      </c>
      <c r="AG129" s="48" t="s">
        <v>101</v>
      </c>
      <c r="AH129" s="41" t="s">
        <v>815</v>
      </c>
      <c r="AI129" s="41" t="s">
        <v>103</v>
      </c>
      <c r="AJ129" s="47" t="s">
        <v>769</v>
      </c>
      <c r="AK129" s="41" t="s">
        <v>796</v>
      </c>
      <c r="AL129" s="47" t="s">
        <v>816</v>
      </c>
      <c r="AM129" s="41">
        <f>1/2</f>
        <v>0.5</v>
      </c>
      <c r="AN129" t="s">
        <v>123</v>
      </c>
      <c r="AO129" s="41" t="s">
        <v>103</v>
      </c>
      <c r="AP129" s="41" t="s">
        <v>481</v>
      </c>
      <c r="AQ129" s="41" t="s">
        <v>772</v>
      </c>
      <c r="AS129" s="47" t="s">
        <v>100</v>
      </c>
      <c r="AT129" s="41" t="s">
        <v>103</v>
      </c>
      <c r="AU129" s="41" t="s">
        <v>95</v>
      </c>
      <c r="AV129" t="s">
        <v>774</v>
      </c>
      <c r="AX129" s="20">
        <f>(65/$N129)</f>
        <v>541.66666666666674</v>
      </c>
      <c r="AY129" s="52" t="s">
        <v>90</v>
      </c>
      <c r="AZ129" s="51">
        <f>AX129+AX129*((100-Q129)/100)</f>
        <v>758.33333333333348</v>
      </c>
      <c r="BA129" t="s">
        <v>90</v>
      </c>
      <c r="BB129" s="20">
        <f>(160/$N129)</f>
        <v>1333.3333333333335</v>
      </c>
      <c r="BC129">
        <f>BB129+(BB129*Q129)/(100-Q129)</f>
        <v>3333.3333333333339</v>
      </c>
      <c r="BD129">
        <f>40/$N129</f>
        <v>333.33333333333337</v>
      </c>
      <c r="BE129">
        <f>BD129+(BD129*Q129)/(100-Q129)</f>
        <v>833.33333333333348</v>
      </c>
      <c r="BF129">
        <f>AX129/AZ129+BB129/BC129+BD129/BE129</f>
        <v>1.514285714285714</v>
      </c>
      <c r="BG129" s="47">
        <v>2500</v>
      </c>
      <c r="BH129" s="25" t="s">
        <v>90</v>
      </c>
      <c r="BI129" s="25" t="s">
        <v>90</v>
      </c>
      <c r="BJ129" s="47" t="s">
        <v>789</v>
      </c>
      <c r="BK129" s="41" t="s">
        <v>777</v>
      </c>
      <c r="BM129" s="41" t="s">
        <v>109</v>
      </c>
      <c r="BN129" s="47" t="s">
        <v>790</v>
      </c>
      <c r="BO129">
        <v>0</v>
      </c>
      <c r="BP129" t="s">
        <v>132</v>
      </c>
      <c r="BQ129" t="s">
        <v>371</v>
      </c>
      <c r="BR129">
        <v>6.02</v>
      </c>
      <c r="BS129" s="24">
        <v>0.17699999999999999</v>
      </c>
      <c r="BT129" s="26">
        <v>90.252906499999995</v>
      </c>
      <c r="BU129" s="26">
        <v>5.7471012400000001</v>
      </c>
      <c r="BV129" s="26">
        <v>4.0021100000000001</v>
      </c>
      <c r="BW129" s="26" t="s">
        <v>71</v>
      </c>
      <c r="BX129" s="26">
        <v>63</v>
      </c>
      <c r="BY129" s="26">
        <v>65.572000000000003</v>
      </c>
      <c r="BZ129" s="26">
        <v>79.427999999999997</v>
      </c>
      <c r="CA129" s="26">
        <v>145</v>
      </c>
      <c r="CB129">
        <f>IF(AZ129&lt;&gt;"NA",(10000/AZ129)*(125/365),(10000/BA129)*(125/365))</f>
        <v>4.5160319132921858</v>
      </c>
      <c r="CC129">
        <f>IF(BA129&lt;&gt;"NA",(10000/BA129)*(125/365),(10000/AZ129)*(125/365))</f>
        <v>4.5160319132921858</v>
      </c>
      <c r="CD129">
        <f>AE129/AVERAGE(AZ129,BA129)</f>
        <v>9.1575091575091555E-2</v>
      </c>
      <c r="CE129">
        <f>1.911*IF(AX129&lt;&gt;"NA", AVERAGE(AX129,AY129), AVERAGE(AZ129,BA129))</f>
        <v>1035.1250000000002</v>
      </c>
      <c r="CF129">
        <v>50</v>
      </c>
      <c r="CG129" s="27">
        <f>(CF129/N129)/IF(AX129&lt;&gt;"NA", AX129,AY129)</f>
        <v>0.76923076923076916</v>
      </c>
      <c r="CH129">
        <f>CF129/N129</f>
        <v>416.66666666666669</v>
      </c>
    </row>
    <row r="130" spans="1:86" s="41" customFormat="1" ht="15.6" x14ac:dyDescent="0.3">
      <c r="A130" s="40">
        <v>129</v>
      </c>
      <c r="B130" s="20" t="s">
        <v>817</v>
      </c>
      <c r="C130" t="s">
        <v>87</v>
      </c>
      <c r="D130" s="42">
        <v>-2.298063</v>
      </c>
      <c r="E130" s="42">
        <v>28.879498000000002</v>
      </c>
      <c r="F130" s="43">
        <v>1536</v>
      </c>
      <c r="G130" s="36" t="s">
        <v>319</v>
      </c>
      <c r="H130" s="38" t="s">
        <v>320</v>
      </c>
      <c r="I130" s="41" t="s">
        <v>761</v>
      </c>
      <c r="J130" s="41" t="s">
        <v>782</v>
      </c>
      <c r="K130" s="41" t="s">
        <v>92</v>
      </c>
      <c r="L130" s="41" t="s">
        <v>92</v>
      </c>
      <c r="M130" s="44">
        <f>80*50/10000</f>
        <v>0.4</v>
      </c>
      <c r="N130" s="45">
        <f>(40*30)/10000</f>
        <v>0.12</v>
      </c>
      <c r="O130" s="41" t="s">
        <v>92</v>
      </c>
      <c r="P130" s="41" t="s">
        <v>93</v>
      </c>
      <c r="Q130" s="41">
        <v>100</v>
      </c>
      <c r="R130" s="46">
        <v>45179</v>
      </c>
      <c r="S130" s="46">
        <v>45327</v>
      </c>
      <c r="T130" s="41" t="s">
        <v>92</v>
      </c>
      <c r="U130" t="s">
        <v>363</v>
      </c>
      <c r="V130" s="41" t="s">
        <v>95</v>
      </c>
      <c r="W130" s="41">
        <v>20</v>
      </c>
      <c r="X130" s="47" t="s">
        <v>100</v>
      </c>
      <c r="Y130" s="48" t="s">
        <v>101</v>
      </c>
      <c r="Z130" s="47">
        <v>1</v>
      </c>
      <c r="AA130" t="s">
        <v>282</v>
      </c>
      <c r="AB130" t="s">
        <v>142</v>
      </c>
      <c r="AC130" s="41" t="s">
        <v>100</v>
      </c>
      <c r="AD130">
        <v>8</v>
      </c>
      <c r="AE130" s="24">
        <f t="shared" ref="AE130:AE132" si="7">AD130/(N130*Q130/100)</f>
        <v>66.666666666666671</v>
      </c>
      <c r="AF130" s="47" t="s">
        <v>100</v>
      </c>
      <c r="AG130" s="48" t="s">
        <v>101</v>
      </c>
      <c r="AH130" s="41" t="s">
        <v>815</v>
      </c>
      <c r="AI130" s="41" t="s">
        <v>103</v>
      </c>
      <c r="AJ130" s="47" t="s">
        <v>769</v>
      </c>
      <c r="AK130" s="41" t="s">
        <v>210</v>
      </c>
      <c r="AL130" s="47" t="s">
        <v>816</v>
      </c>
      <c r="AM130" s="41" t="s">
        <v>103</v>
      </c>
      <c r="AN130"/>
      <c r="AO130" s="41" t="s">
        <v>103</v>
      </c>
      <c r="AP130" s="41" t="s">
        <v>818</v>
      </c>
      <c r="AQ130" s="41" t="s">
        <v>100</v>
      </c>
      <c r="AS130" s="47" t="s">
        <v>95</v>
      </c>
      <c r="AT130" s="41" t="s">
        <v>773</v>
      </c>
      <c r="AU130" s="41" t="s">
        <v>95</v>
      </c>
      <c r="AV130" t="s">
        <v>774</v>
      </c>
      <c r="AW130" s="41" t="s">
        <v>775</v>
      </c>
      <c r="AX130" s="20">
        <f>(60/$N130)</f>
        <v>500</v>
      </c>
      <c r="AY130" s="20">
        <f>(45/$N130)</f>
        <v>375</v>
      </c>
      <c r="AZ130">
        <f>AX130+AX130*((100-Q130)/100)</f>
        <v>500</v>
      </c>
      <c r="BA130">
        <f>AY130+AY130*((100-Q130)/100)</f>
        <v>375</v>
      </c>
      <c r="BB130" s="20" t="s">
        <v>90</v>
      </c>
      <c r="BC130" t="s">
        <v>90</v>
      </c>
      <c r="BD130" t="s">
        <v>90</v>
      </c>
      <c r="BE130" t="s">
        <v>90</v>
      </c>
      <c r="BF130">
        <v>1</v>
      </c>
      <c r="BG130" s="47">
        <v>2500</v>
      </c>
      <c r="BH130" s="25" t="s">
        <v>90</v>
      </c>
      <c r="BI130" s="25" t="s">
        <v>90</v>
      </c>
      <c r="BJ130" s="47" t="s">
        <v>776</v>
      </c>
      <c r="BK130" s="41" t="s">
        <v>777</v>
      </c>
      <c r="BM130" s="41" t="s">
        <v>109</v>
      </c>
      <c r="BN130" s="47" t="s">
        <v>778</v>
      </c>
      <c r="BO130">
        <v>1</v>
      </c>
      <c r="BP130" s="47" t="s">
        <v>779</v>
      </c>
      <c r="BQ130" t="s">
        <v>569</v>
      </c>
      <c r="BR130">
        <v>5.6206596156816904</v>
      </c>
      <c r="BS130" s="24">
        <v>0.169584967701571</v>
      </c>
      <c r="BX130" s="26">
        <v>63</v>
      </c>
      <c r="BY130" s="26">
        <v>48.108745703174634</v>
      </c>
      <c r="BZ130" s="26">
        <v>96.891254296825366</v>
      </c>
      <c r="CA130" s="26">
        <v>145</v>
      </c>
      <c r="CB130">
        <f>IF(AZ130&lt;&gt;"NA",(10000/AZ130)*(125/365),(10000/BA130)*(125/365))</f>
        <v>6.8493150684931505</v>
      </c>
      <c r="CC130">
        <f>IF(BA130&lt;&gt;"NA",(10000/BA130)*(125/365),(10000/AZ130)*(125/365))</f>
        <v>9.1324200913242013</v>
      </c>
      <c r="CD130">
        <f>AE130/AVERAGE(AZ130,BA130)</f>
        <v>0.15238095238095239</v>
      </c>
      <c r="CE130">
        <f>1.911*IF(AX130&lt;&gt;"NA", AVERAGE(AX130,AY130), AVERAGE(AZ130,BA130))</f>
        <v>836.0625</v>
      </c>
      <c r="CF130">
        <v>40</v>
      </c>
      <c r="CG130" s="27">
        <f>(CF130/N130)/IF(AX130&lt;&gt;"NA", AX130,AY130)</f>
        <v>0.66666666666666674</v>
      </c>
      <c r="CH130">
        <f>CF130/N130</f>
        <v>333.33333333333337</v>
      </c>
    </row>
    <row r="131" spans="1:86" s="41" customFormat="1" ht="15.6" x14ac:dyDescent="0.3">
      <c r="A131" s="40">
        <v>130</v>
      </c>
      <c r="B131" s="20" t="s">
        <v>819</v>
      </c>
      <c r="C131" t="s">
        <v>87</v>
      </c>
      <c r="D131" s="28">
        <v>-2.3052969999999999</v>
      </c>
      <c r="E131" s="42">
        <v>28.888501000000002</v>
      </c>
      <c r="F131" s="43">
        <v>1528</v>
      </c>
      <c r="G131" s="36" t="s">
        <v>319</v>
      </c>
      <c r="H131" s="38" t="s">
        <v>320</v>
      </c>
      <c r="I131" s="41" t="s">
        <v>761</v>
      </c>
      <c r="J131" s="41" t="s">
        <v>782</v>
      </c>
      <c r="K131" s="41" t="s">
        <v>138</v>
      </c>
      <c r="L131" s="41" t="s">
        <v>820</v>
      </c>
      <c r="M131" s="44" t="s">
        <v>90</v>
      </c>
      <c r="N131" s="45">
        <f>(50*30)/10000</f>
        <v>0.15</v>
      </c>
      <c r="O131" s="41" t="s">
        <v>821</v>
      </c>
      <c r="P131" s="41" t="s">
        <v>764</v>
      </c>
      <c r="Q131" s="41">
        <v>60</v>
      </c>
      <c r="R131" s="46">
        <v>45174</v>
      </c>
      <c r="S131" s="46">
        <v>45332</v>
      </c>
      <c r="T131" s="41" t="s">
        <v>820</v>
      </c>
      <c r="U131" t="s">
        <v>822</v>
      </c>
      <c r="V131" s="41" t="s">
        <v>95</v>
      </c>
      <c r="W131" s="41">
        <v>20</v>
      </c>
      <c r="X131" s="47" t="s">
        <v>100</v>
      </c>
      <c r="Y131" s="48" t="s">
        <v>101</v>
      </c>
      <c r="Z131" s="47">
        <v>1</v>
      </c>
      <c r="AA131" t="s">
        <v>282</v>
      </c>
      <c r="AB131" t="s">
        <v>767</v>
      </c>
      <c r="AC131" s="41" t="s">
        <v>100</v>
      </c>
      <c r="AD131">
        <v>7</v>
      </c>
      <c r="AE131" s="24">
        <f t="shared" si="7"/>
        <v>77.777777777777786</v>
      </c>
      <c r="AF131" s="47" t="s">
        <v>100</v>
      </c>
      <c r="AG131" s="48" t="s">
        <v>101</v>
      </c>
      <c r="AH131" s="41" t="s">
        <v>795</v>
      </c>
      <c r="AI131" s="41" t="s">
        <v>103</v>
      </c>
      <c r="AJ131" s="47" t="s">
        <v>769</v>
      </c>
      <c r="AK131" s="41" t="s">
        <v>796</v>
      </c>
      <c r="AL131" s="47" t="s">
        <v>806</v>
      </c>
      <c r="AM131" s="41">
        <f>1/2</f>
        <v>0.5</v>
      </c>
      <c r="AN131" t="s">
        <v>123</v>
      </c>
      <c r="AO131" s="41" t="s">
        <v>103</v>
      </c>
      <c r="AP131" s="41" t="s">
        <v>818</v>
      </c>
      <c r="AQ131" s="41" t="s">
        <v>772</v>
      </c>
      <c r="AS131" s="47" t="s">
        <v>95</v>
      </c>
      <c r="AT131" s="41" t="s">
        <v>823</v>
      </c>
      <c r="AU131" s="41" t="s">
        <v>95</v>
      </c>
      <c r="AV131" t="s">
        <v>774</v>
      </c>
      <c r="AW131" s="41" t="s">
        <v>799</v>
      </c>
      <c r="AX131" s="20">
        <f>(120/$N131)</f>
        <v>800</v>
      </c>
      <c r="AY131" s="20" t="s">
        <v>90</v>
      </c>
      <c r="AZ131">
        <f>AX131+AX131*((100-Q131)/100)</f>
        <v>1120</v>
      </c>
      <c r="BA131" t="s">
        <v>90</v>
      </c>
      <c r="BB131" s="20" t="s">
        <v>90</v>
      </c>
      <c r="BC131" t="s">
        <v>90</v>
      </c>
      <c r="BD131">
        <f>80/$N131</f>
        <v>533.33333333333337</v>
      </c>
      <c r="BE131">
        <f>BD131+(BD131*Q131)/(100-Q131)</f>
        <v>1333.3333333333335</v>
      </c>
      <c r="BF131">
        <f>AX131/AZ131+BD131/BE131</f>
        <v>1.1142857142857143</v>
      </c>
      <c r="BG131" s="47">
        <v>3000</v>
      </c>
      <c r="BH131" s="24" t="s">
        <v>90</v>
      </c>
      <c r="BI131" s="25" t="s">
        <v>90</v>
      </c>
      <c r="BJ131" s="47" t="s">
        <v>789</v>
      </c>
      <c r="BK131" s="41" t="s">
        <v>777</v>
      </c>
      <c r="BM131" s="41" t="s">
        <v>109</v>
      </c>
      <c r="BN131" s="47" t="s">
        <v>790</v>
      </c>
      <c r="BO131">
        <v>0</v>
      </c>
      <c r="BP131" t="s">
        <v>132</v>
      </c>
      <c r="BQ131" t="s">
        <v>371</v>
      </c>
      <c r="BR131">
        <v>5.7623812244663197</v>
      </c>
      <c r="BS131" s="24">
        <v>0.187222681181544</v>
      </c>
      <c r="BX131" s="26">
        <v>63</v>
      </c>
      <c r="BY131" s="26">
        <v>54.679329301926003</v>
      </c>
      <c r="BZ131" s="26">
        <v>90.320670698073997</v>
      </c>
      <c r="CA131" s="26">
        <v>145</v>
      </c>
      <c r="CB131">
        <f>IF(AZ131&lt;&gt;"NA",(10000/AZ131)*(125/365),(10000/BA131)*(125/365))</f>
        <v>3.0577299412915853</v>
      </c>
      <c r="CC131">
        <f>IF(BA131&lt;&gt;"NA",(10000/BA131)*(125/365),(10000/AZ131)*(125/365))</f>
        <v>3.0577299412915853</v>
      </c>
      <c r="CD131">
        <f>AE131/AVERAGE(AZ131,BA131)</f>
        <v>6.9444444444444448E-2</v>
      </c>
      <c r="CE131">
        <f>1.911*IF(AX131&lt;&gt;"NA", AVERAGE(AX131,AY131), AVERAGE(AZ131,BA131))</f>
        <v>1528.8</v>
      </c>
      <c r="CF131">
        <v>30</v>
      </c>
      <c r="CG131" s="27">
        <f>(CF131/N131)/IF(AX131&lt;&gt;"NA", AX131,AY131)</f>
        <v>0.25</v>
      </c>
      <c r="CH131">
        <f>CF131/N131</f>
        <v>200</v>
      </c>
    </row>
    <row r="132" spans="1:86" s="41" customFormat="1" ht="15.6" x14ac:dyDescent="0.3">
      <c r="A132" s="40">
        <v>131</v>
      </c>
      <c r="B132" s="20" t="s">
        <v>824</v>
      </c>
      <c r="C132" t="s">
        <v>87</v>
      </c>
      <c r="D132" s="28">
        <v>-2.3113049999999999</v>
      </c>
      <c r="E132" s="42">
        <v>28.889779000000001</v>
      </c>
      <c r="F132" s="43">
        <v>1543</v>
      </c>
      <c r="G132" s="36" t="s">
        <v>319</v>
      </c>
      <c r="H132" s="38" t="s">
        <v>320</v>
      </c>
      <c r="I132" s="41" t="s">
        <v>804</v>
      </c>
      <c r="J132" s="41" t="s">
        <v>762</v>
      </c>
      <c r="K132" s="41" t="s">
        <v>194</v>
      </c>
      <c r="L132" s="41" t="s">
        <v>814</v>
      </c>
      <c r="M132" s="44" t="s">
        <v>90</v>
      </c>
      <c r="N132" s="45">
        <f>(40*30)/10000</f>
        <v>0.12</v>
      </c>
      <c r="O132" s="41" t="s">
        <v>194</v>
      </c>
      <c r="P132" s="41" t="s">
        <v>764</v>
      </c>
      <c r="Q132" s="41">
        <v>50</v>
      </c>
      <c r="R132" s="46">
        <v>45172</v>
      </c>
      <c r="S132" s="46">
        <v>45323</v>
      </c>
      <c r="T132" s="41" t="s">
        <v>174</v>
      </c>
      <c r="U132" t="s">
        <v>440</v>
      </c>
      <c r="V132" s="41" t="s">
        <v>95</v>
      </c>
      <c r="W132" s="41">
        <v>20</v>
      </c>
      <c r="X132" s="47" t="s">
        <v>100</v>
      </c>
      <c r="Y132" s="48" t="s">
        <v>101</v>
      </c>
      <c r="Z132" s="47">
        <v>2</v>
      </c>
      <c r="AA132" t="s">
        <v>282</v>
      </c>
      <c r="AB132" t="s">
        <v>767</v>
      </c>
      <c r="AC132" s="41" t="s">
        <v>100</v>
      </c>
      <c r="AD132">
        <v>3</v>
      </c>
      <c r="AE132" s="24">
        <f t="shared" si="7"/>
        <v>50</v>
      </c>
      <c r="AF132" s="47" t="s">
        <v>100</v>
      </c>
      <c r="AG132" s="48" t="s">
        <v>101</v>
      </c>
      <c r="AH132" s="41" t="s">
        <v>102</v>
      </c>
      <c r="AI132" s="41" t="s">
        <v>103</v>
      </c>
      <c r="AJ132" s="47" t="s">
        <v>769</v>
      </c>
      <c r="AK132" s="41" t="s">
        <v>210</v>
      </c>
      <c r="AL132" s="47" t="s">
        <v>825</v>
      </c>
      <c r="AM132" s="41">
        <f>1/2</f>
        <v>0.5</v>
      </c>
      <c r="AN132" t="s">
        <v>123</v>
      </c>
      <c r="AO132" s="41" t="s">
        <v>103</v>
      </c>
      <c r="AP132" s="41" t="s">
        <v>496</v>
      </c>
      <c r="AQ132" s="41" t="s">
        <v>100</v>
      </c>
      <c r="AS132" s="47" t="s">
        <v>95</v>
      </c>
      <c r="AT132" s="41" t="s">
        <v>103</v>
      </c>
      <c r="AU132" s="41" t="s">
        <v>95</v>
      </c>
      <c r="AV132" t="s">
        <v>774</v>
      </c>
      <c r="AW132" s="41" t="s">
        <v>799</v>
      </c>
      <c r="AX132" s="20">
        <f>(50/$N132)</f>
        <v>416.66666666666669</v>
      </c>
      <c r="AY132" s="20" t="s">
        <v>90</v>
      </c>
      <c r="AZ132">
        <f>AX132+AX132*((100-Q132)/100)</f>
        <v>625</v>
      </c>
      <c r="BA132" t="s">
        <v>90</v>
      </c>
      <c r="BB132" s="20">
        <f>(60/$N132)</f>
        <v>500</v>
      </c>
      <c r="BC132">
        <f>BB132+(BB132*Q132)/(100-Q132)</f>
        <v>1000</v>
      </c>
      <c r="BD132">
        <f>40/$N132</f>
        <v>333.33333333333337</v>
      </c>
      <c r="BE132">
        <f>BD132+(BD132*Q132)/(100-Q132)</f>
        <v>666.66666666666674</v>
      </c>
      <c r="BF132">
        <f>AX132/AZ132+BB132/BC132+BD132/BE132</f>
        <v>1.6666666666666667</v>
      </c>
      <c r="BG132" s="47">
        <v>2500</v>
      </c>
      <c r="BH132" s="25" t="s">
        <v>90</v>
      </c>
      <c r="BI132" s="25" t="s">
        <v>90</v>
      </c>
      <c r="BJ132" s="47" t="s">
        <v>776</v>
      </c>
      <c r="BK132" s="41" t="s">
        <v>777</v>
      </c>
      <c r="BM132" s="41" t="s">
        <v>109</v>
      </c>
      <c r="BN132" s="47" t="s">
        <v>812</v>
      </c>
      <c r="BO132">
        <v>1</v>
      </c>
      <c r="BP132" s="47" t="s">
        <v>779</v>
      </c>
      <c r="BQ132" t="s">
        <v>569</v>
      </c>
      <c r="BR132">
        <v>6</v>
      </c>
      <c r="BS132" s="24">
        <v>0.21</v>
      </c>
      <c r="BT132" s="26">
        <v>78.319688900000003</v>
      </c>
      <c r="BU132" s="26">
        <v>19.480296899999999</v>
      </c>
      <c r="BV132" s="26">
        <v>2.131313</v>
      </c>
      <c r="BW132" s="26" t="s">
        <v>71</v>
      </c>
      <c r="BX132" s="26">
        <v>63</v>
      </c>
      <c r="BY132" s="26">
        <v>66.551999999999992</v>
      </c>
      <c r="BZ132" s="26">
        <v>78.448000000000008</v>
      </c>
      <c r="CA132" s="26">
        <v>145</v>
      </c>
      <c r="CB132">
        <f>IF(AZ132&lt;&gt;"NA",(10000/AZ132)*(125/365),(10000/BA132)*(125/365))</f>
        <v>5.4794520547945202</v>
      </c>
      <c r="CC132">
        <f>IF(BA132&lt;&gt;"NA",(10000/BA132)*(125/365),(10000/AZ132)*(125/365))</f>
        <v>5.4794520547945202</v>
      </c>
      <c r="CD132">
        <f>AE132/AVERAGE(AZ132,BA132)</f>
        <v>0.08</v>
      </c>
      <c r="CE132">
        <f>1.911*IF(AX132&lt;&gt;"NA", AVERAGE(AX132,AY132), AVERAGE(AZ132,BA132))</f>
        <v>796.25</v>
      </c>
      <c r="CF132">
        <v>40</v>
      </c>
      <c r="CG132" s="27">
        <f>(CF132/N132)/IF(AX132&lt;&gt;"NA", AX132,AY132)</f>
        <v>0.8</v>
      </c>
      <c r="CH132">
        <f>CF132/N132</f>
        <v>333.33333333333337</v>
      </c>
    </row>
    <row r="133" spans="1:86" ht="15.6" x14ac:dyDescent="0.3">
      <c r="A133" s="40">
        <v>132</v>
      </c>
      <c r="B133" s="20" t="s">
        <v>826</v>
      </c>
      <c r="C133" t="s">
        <v>827</v>
      </c>
      <c r="D133" s="24">
        <v>-6.370927</v>
      </c>
      <c r="E133" s="24">
        <v>23.834045</v>
      </c>
      <c r="F133" s="49">
        <v>546</v>
      </c>
      <c r="G133" t="s">
        <v>88</v>
      </c>
      <c r="H133" s="38"/>
      <c r="K133" t="s">
        <v>828</v>
      </c>
      <c r="N133">
        <v>10</v>
      </c>
      <c r="O133" s="41" t="s">
        <v>103</v>
      </c>
      <c r="P133" s="41" t="s">
        <v>172</v>
      </c>
      <c r="Q133" s="41">
        <v>100</v>
      </c>
      <c r="V133" s="41" t="s">
        <v>100</v>
      </c>
      <c r="Y133" s="48" t="s">
        <v>829</v>
      </c>
      <c r="Z133" s="47">
        <v>6</v>
      </c>
      <c r="AE133">
        <v>45</v>
      </c>
      <c r="AF133" s="47" t="s">
        <v>100</v>
      </c>
      <c r="AP133" s="41" t="s">
        <v>830</v>
      </c>
      <c r="AX133" t="s">
        <v>90</v>
      </c>
      <c r="AY133" t="s">
        <v>90</v>
      </c>
      <c r="AZ133">
        <v>1800</v>
      </c>
      <c r="BA133" t="s">
        <v>90</v>
      </c>
      <c r="BB133" s="20" t="s">
        <v>90</v>
      </c>
      <c r="BC133" t="s">
        <v>90</v>
      </c>
      <c r="BD133" t="s">
        <v>90</v>
      </c>
      <c r="BE133" t="s">
        <v>90</v>
      </c>
      <c r="BF133">
        <v>1</v>
      </c>
      <c r="BO133">
        <v>1</v>
      </c>
      <c r="BP133" t="s">
        <v>831</v>
      </c>
      <c r="BQ133" t="s">
        <v>832</v>
      </c>
      <c r="BR133">
        <v>5.65</v>
      </c>
      <c r="BT133">
        <v>32.69122041</v>
      </c>
      <c r="BU133">
        <v>45.727832999999997</v>
      </c>
      <c r="BV133">
        <v>21.580957059999999</v>
      </c>
      <c r="BW133" s="26" t="s">
        <v>192</v>
      </c>
      <c r="BX133" s="26">
        <v>47</v>
      </c>
      <c r="BY133">
        <v>38.53</v>
      </c>
      <c r="BZ133" s="26">
        <v>8.4699999999999989</v>
      </c>
      <c r="CA133" s="26">
        <v>47</v>
      </c>
      <c r="CB133">
        <f>IF(AZ133&lt;&gt;"NA",(10000/AZ133)*(120/365),(10000/BA133)*(120/365))</f>
        <v>1.8264840182648401</v>
      </c>
      <c r="CD133">
        <f>AE133/AVERAGE(AZ133,BA133)</f>
        <v>2.5000000000000001E-2</v>
      </c>
    </row>
    <row r="134" spans="1:86" ht="15.6" x14ac:dyDescent="0.3">
      <c r="A134" s="40">
        <v>133</v>
      </c>
      <c r="B134" s="41" t="s">
        <v>833</v>
      </c>
      <c r="C134" t="s">
        <v>827</v>
      </c>
      <c r="D134" s="24">
        <v>-2.8947069999999999</v>
      </c>
      <c r="E134" s="24">
        <v>29.073868999999998</v>
      </c>
      <c r="F134" s="24">
        <v>878</v>
      </c>
      <c r="G134" s="36" t="s">
        <v>319</v>
      </c>
      <c r="H134" s="38"/>
      <c r="K134" t="s">
        <v>828</v>
      </c>
      <c r="N134">
        <v>10</v>
      </c>
      <c r="O134" s="41" t="s">
        <v>103</v>
      </c>
      <c r="P134" s="41" t="s">
        <v>172</v>
      </c>
      <c r="Q134" s="41">
        <v>100</v>
      </c>
      <c r="V134" s="41" t="s">
        <v>100</v>
      </c>
      <c r="Y134" s="48" t="s">
        <v>829</v>
      </c>
      <c r="Z134" s="47">
        <v>6</v>
      </c>
      <c r="AE134">
        <v>45</v>
      </c>
      <c r="AF134" s="47" t="s">
        <v>100</v>
      </c>
      <c r="AP134" s="41" t="s">
        <v>830</v>
      </c>
      <c r="AX134" t="s">
        <v>90</v>
      </c>
      <c r="AY134" t="s">
        <v>90</v>
      </c>
      <c r="AZ134">
        <v>1800</v>
      </c>
      <c r="BA134" t="s">
        <v>90</v>
      </c>
      <c r="BB134" t="s">
        <v>90</v>
      </c>
      <c r="BC134" t="s">
        <v>90</v>
      </c>
      <c r="BD134" t="s">
        <v>90</v>
      </c>
      <c r="BE134" t="s">
        <v>90</v>
      </c>
      <c r="BF134">
        <v>1</v>
      </c>
      <c r="BO134">
        <v>1</v>
      </c>
      <c r="BP134" s="47" t="s">
        <v>831</v>
      </c>
      <c r="BQ134" t="s">
        <v>834</v>
      </c>
      <c r="BR134">
        <v>6.46</v>
      </c>
      <c r="BT134">
        <v>46.363627770000001</v>
      </c>
      <c r="BU134">
        <v>53.636367800000002</v>
      </c>
      <c r="BV134">
        <v>0</v>
      </c>
      <c r="BW134" s="26" t="s">
        <v>341</v>
      </c>
      <c r="BX134" s="26">
        <v>39</v>
      </c>
      <c r="BY134">
        <v>43.65</v>
      </c>
      <c r="BZ134" s="26">
        <v>101.35</v>
      </c>
      <c r="CA134" s="26">
        <v>145</v>
      </c>
      <c r="CB134">
        <f>IF(AZ134&lt;&gt;"NA",(10000/AZ134)*(120/365),(10000/BA134)*(120/365))</f>
        <v>1.8264840182648401</v>
      </c>
      <c r="CD134">
        <f>AE134/AVERAGE(AZ134,BA134)</f>
        <v>2.5000000000000001E-2</v>
      </c>
    </row>
  </sheetData>
  <conditionalFormatting sqref="R53">
    <cfRule type="containsBlanks" dxfId="0" priority="4">
      <formula>LEN(TRIM(R53))=0</formula>
    </cfRule>
  </conditionalFormatting>
  <conditionalFormatting sqref="S31">
    <cfRule type="containsBlanks" priority="3">
      <formula>LEN(TRIM(S31))=0</formula>
    </cfRule>
  </conditionalFormatting>
  <conditionalFormatting sqref="S46">
    <cfRule type="containsBlanks" priority="2">
      <formula>LEN(TRIM(S46))=0</formula>
    </cfRule>
  </conditionalFormatting>
  <dataValidations count="1">
    <dataValidation type="list" allowBlank="1" showInputMessage="1" showErrorMessage="1" sqref="J24:J25 J45" xr:uid="{8BC26FCB-D047-4B2E-8499-BC767DE105A8}">
      <formula1>Sexe</formula1>
    </dataValidation>
  </dataValidations>
  <pageMargins left="0.7" right="0.7" top="0.75" bottom="0.75" header="0.3" footer="0.3"/>
  <legacyDrawing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1</vt:i4>
      </vt:variant>
    </vt:vector>
  </HeadingPairs>
  <TitlesOfParts>
    <vt:vector size="1" baseType="lpstr">
      <vt:lpstr>Tabelle1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Bugale Malembaka  Réussite</dc:creator>
  <cp:lastModifiedBy>Bugale Malembaka  Réussite</cp:lastModifiedBy>
  <dcterms:created xsi:type="dcterms:W3CDTF">2015-06-05T18:19:34Z</dcterms:created>
  <dcterms:modified xsi:type="dcterms:W3CDTF">2025-05-07T08:07:56Z</dcterms:modified>
</cp:coreProperties>
</file>