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colors8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charts/style8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85" activeTab="6"/>
  </bookViews>
  <sheets>
    <sheet name="菌含量及时间" sheetId="5" r:id="rId1"/>
    <sheet name="菌比例" sheetId="6" r:id="rId2"/>
    <sheet name="理化成分标准曲线" sheetId="2" r:id="rId3"/>
    <sheet name="GABA标曲" sheetId="1" r:id="rId4"/>
    <sheet name="GABA、理化成分、色差对比" sheetId="8" r:id="rId5"/>
    <sheet name="电子舌" sheetId="4" r:id="rId6"/>
    <sheet name="感官" sheetId="7" r:id="rId7"/>
  </sheets>
  <definedNames>
    <definedName name="_Hlk165755928" localSheetId="5">电子舌!$B$23</definedName>
    <definedName name="OLE_LINK1" localSheetId="5">电子舌!$K$5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<sst xmlns="http://schemas.openxmlformats.org/spreadsheetml/2006/main" count="1006" uniqueCount="380">
  <si>
    <t>菌含量及时间的研究</t>
  </si>
  <si>
    <t>吸光度</t>
  </si>
  <si>
    <t>含量</t>
  </si>
  <si>
    <t>实际含量</t>
  </si>
  <si>
    <t>0-24</t>
  </si>
  <si>
    <t>0-36</t>
  </si>
  <si>
    <t>0-48</t>
  </si>
  <si>
    <t>1ml---24h</t>
  </si>
  <si>
    <t>1ml---36h</t>
  </si>
  <si>
    <t>1ml---48h</t>
  </si>
  <si>
    <t>2ml---24h</t>
  </si>
  <si>
    <t>2ml---36h</t>
  </si>
  <si>
    <t>2ml---48h</t>
  </si>
  <si>
    <t>3ml---24h</t>
  </si>
  <si>
    <t>3ml---36h</t>
  </si>
  <si>
    <t>3ml---48h</t>
  </si>
  <si>
    <t>不同菌比例的五组，37摄氏度培养36h</t>
  </si>
  <si>
    <t>条件</t>
  </si>
  <si>
    <t>纯短</t>
  </si>
  <si>
    <t>短：植3：7</t>
  </si>
  <si>
    <t>短：植5：5</t>
  </si>
  <si>
    <t>短：植7：3</t>
  </si>
  <si>
    <t>纯植</t>
  </si>
  <si>
    <t>短：植0:0</t>
  </si>
  <si>
    <t>不发酵</t>
  </si>
  <si>
    <t>水分</t>
  </si>
  <si>
    <t>样品</t>
  </si>
  <si>
    <t>皿</t>
  </si>
  <si>
    <t>烘前（皿+试样）</t>
  </si>
  <si>
    <t>试样</t>
  </si>
  <si>
    <t>烘后（皿+试样）</t>
  </si>
  <si>
    <t>水分含量</t>
  </si>
  <si>
    <t>绝对差值</t>
  </si>
  <si>
    <t>算术平均值</t>
  </si>
  <si>
    <t>干物质w</t>
  </si>
  <si>
    <t>w---pingjun</t>
  </si>
  <si>
    <t>春奇兰</t>
  </si>
  <si>
    <t>夏奇兰</t>
  </si>
  <si>
    <t>暑奇兰</t>
  </si>
  <si>
    <t>秋奇兰</t>
  </si>
  <si>
    <t>碳培奇兰</t>
  </si>
  <si>
    <t>浸出物</t>
  </si>
  <si>
    <t>样品质量</t>
  </si>
  <si>
    <t>皿+滤纸</t>
  </si>
  <si>
    <t>皿+滤纸+茶渣</t>
  </si>
  <si>
    <t>茶渣</t>
  </si>
  <si>
    <t>浸出物含量</t>
  </si>
  <si>
    <t>?</t>
  </si>
  <si>
    <t>咖啡碱</t>
  </si>
  <si>
    <t>标曲</t>
  </si>
  <si>
    <t>25ml</t>
  </si>
  <si>
    <t>A</t>
  </si>
  <si>
    <t>含量mg</t>
  </si>
  <si>
    <t>茶样m/g</t>
  </si>
  <si>
    <t>咖啡碱/%</t>
  </si>
  <si>
    <t>平均值</t>
  </si>
  <si>
    <t>春</t>
  </si>
  <si>
    <t>夏</t>
  </si>
  <si>
    <t>暑</t>
  </si>
  <si>
    <t>秋</t>
  </si>
  <si>
    <t>碳</t>
  </si>
  <si>
    <t>茶多酚</t>
  </si>
  <si>
    <t>含量ug/ml</t>
  </si>
  <si>
    <t>含量ug</t>
  </si>
  <si>
    <t>mg</t>
  </si>
  <si>
    <t>茶样/mg</t>
  </si>
  <si>
    <t>Ctp</t>
  </si>
  <si>
    <t>平均</t>
  </si>
  <si>
    <t>氨基酸</t>
  </si>
  <si>
    <t>mg/ml</t>
  </si>
  <si>
    <t>含量/mg</t>
  </si>
  <si>
    <t>m/g</t>
  </si>
  <si>
    <t>游离氨基酸总量</t>
  </si>
  <si>
    <t>4/11的标曲，浓度是2mg/ml</t>
  </si>
  <si>
    <t>GABA含量/mg</t>
  </si>
  <si>
    <t>吸光度/A</t>
  </si>
  <si>
    <t>37℃植物乳杆菌发酵</t>
  </si>
  <si>
    <t>PH</t>
  </si>
  <si>
    <t>吸光度值</t>
  </si>
  <si>
    <t>1ml样品中的含量/mg</t>
  </si>
  <si>
    <t>1克定容到50毫升/mg</t>
  </si>
  <si>
    <t>无菌水对照</t>
  </si>
  <si>
    <t>4/12重复两次的，浓度1mg/ml</t>
  </si>
  <si>
    <t>GABA标曲</t>
  </si>
  <si>
    <t>GABA</t>
  </si>
  <si>
    <t>春未</t>
  </si>
  <si>
    <t>未发酵</t>
  </si>
  <si>
    <t>春发</t>
  </si>
  <si>
    <t>发酵</t>
  </si>
  <si>
    <t>春成</t>
  </si>
  <si>
    <t>成品</t>
  </si>
  <si>
    <t>夏未</t>
  </si>
  <si>
    <t>夏发</t>
  </si>
  <si>
    <t>夏成</t>
  </si>
  <si>
    <t>秋未</t>
  </si>
  <si>
    <t>秋发</t>
  </si>
  <si>
    <t>秋成</t>
  </si>
  <si>
    <t>C</t>
  </si>
  <si>
    <t>总量</t>
  </si>
  <si>
    <t>样品重</t>
  </si>
  <si>
    <t>春发-10</t>
  </si>
  <si>
    <t>夏发-10</t>
  </si>
  <si>
    <t>秋发-10</t>
  </si>
  <si>
    <t>样品重量</t>
  </si>
  <si>
    <t>皿+样品</t>
  </si>
  <si>
    <t>烘干后皿+茶</t>
  </si>
  <si>
    <t>干后样品</t>
  </si>
  <si>
    <t>干物质</t>
  </si>
  <si>
    <t>GABA含量/</t>
  </si>
  <si>
    <t>干后总重</t>
  </si>
  <si>
    <t>干后样重</t>
  </si>
  <si>
    <t>标准差</t>
  </si>
  <si>
    <t>标准品</t>
  </si>
  <si>
    <t>Δ未</t>
  </si>
  <si>
    <t>Δ发</t>
  </si>
  <si>
    <t>L</t>
  </si>
  <si>
    <t>a</t>
  </si>
  <si>
    <t>色差</t>
  </si>
  <si>
    <t>b</t>
  </si>
  <si>
    <t>pj</t>
  </si>
  <si>
    <t>--</t>
  </si>
  <si>
    <t>Δ</t>
  </si>
  <si>
    <t>E</t>
  </si>
  <si>
    <t>开方</t>
  </si>
  <si>
    <t>成</t>
  </si>
  <si>
    <t>bz</t>
  </si>
  <si>
    <t>温度及投茶量</t>
  </si>
  <si>
    <r>
      <rPr>
        <sz val="9"/>
        <color rgb="FF000000"/>
        <rFont val="宋体"/>
        <charset val="134"/>
      </rPr>
      <t>投茶量</t>
    </r>
    <r>
      <rPr>
        <sz val="9"/>
        <color rgb="FF000000"/>
        <rFont val="Times New Roman"/>
        <charset val="134"/>
      </rPr>
      <t>/g</t>
    </r>
  </si>
  <si>
    <t>苦味</t>
  </si>
  <si>
    <t>涩味</t>
  </si>
  <si>
    <t>苦味回味</t>
  </si>
  <si>
    <t>涩味回味</t>
  </si>
  <si>
    <t>鲜味</t>
  </si>
  <si>
    <t>丰富性</t>
  </si>
  <si>
    <t>咸味</t>
  </si>
  <si>
    <t>80---1</t>
  </si>
  <si>
    <t>80---2</t>
  </si>
  <si>
    <t>80---3</t>
  </si>
  <si>
    <t>90---1</t>
  </si>
  <si>
    <t>90---2</t>
  </si>
  <si>
    <t>90---3</t>
  </si>
  <si>
    <t>100---1</t>
  </si>
  <si>
    <t>100---2</t>
  </si>
  <si>
    <t>100---3</t>
  </si>
  <si>
    <r>
      <rPr>
        <sz val="9"/>
        <color rgb="FF000000"/>
        <rFont val="宋体"/>
        <charset val="134"/>
      </rPr>
      <t>温度</t>
    </r>
    <r>
      <rPr>
        <sz val="9"/>
        <color rgb="FF000000"/>
        <rFont val="Times New Roman"/>
        <charset val="134"/>
      </rPr>
      <t>/</t>
    </r>
    <r>
      <rPr>
        <sz val="9"/>
        <color rgb="FF000000"/>
        <rFont val="宋体"/>
        <charset val="134"/>
      </rPr>
      <t>℃</t>
    </r>
  </si>
  <si>
    <t>Tasteless</t>
  </si>
  <si>
    <r>
      <rPr>
        <sz val="9"/>
        <color rgb="FF000000"/>
        <rFont val="Times New Roman"/>
        <charset val="134"/>
      </rPr>
      <t>6.96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0.69</t>
    </r>
  </si>
  <si>
    <r>
      <rPr>
        <sz val="9"/>
        <color rgb="FF000000"/>
        <rFont val="Times New Roman"/>
        <charset val="134"/>
      </rPr>
      <t>-2.25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1.26</t>
    </r>
  </si>
  <si>
    <r>
      <rPr>
        <sz val="9"/>
        <color rgb="FF000000"/>
        <rFont val="Times New Roman"/>
        <charset val="134"/>
      </rPr>
      <t>-0.27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0.07</t>
    </r>
  </si>
  <si>
    <r>
      <rPr>
        <sz val="9"/>
        <color rgb="FF000000"/>
        <rFont val="Times New Roman"/>
        <charset val="134"/>
      </rPr>
      <t>2.82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0.65</t>
    </r>
  </si>
  <si>
    <r>
      <rPr>
        <sz val="9"/>
        <color rgb="FF000000"/>
        <rFont val="Times New Roman"/>
        <charset val="134"/>
      </rPr>
      <t>13.57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0.16</t>
    </r>
  </si>
  <si>
    <r>
      <rPr>
        <sz val="9"/>
        <color rgb="FF000000"/>
        <rFont val="Times New Roman"/>
        <charset val="134"/>
      </rPr>
      <t>3.62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0.20</t>
    </r>
  </si>
  <si>
    <r>
      <rPr>
        <sz val="9"/>
        <color rgb="FF000000"/>
        <rFont val="Times New Roman"/>
        <charset val="134"/>
      </rPr>
      <t>6.62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0.86</t>
    </r>
  </si>
  <si>
    <r>
      <rPr>
        <sz val="9"/>
        <color rgb="FF000000"/>
        <rFont val="Times New Roman"/>
        <charset val="134"/>
      </rPr>
      <t>3.69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0.46</t>
    </r>
  </si>
  <si>
    <r>
      <rPr>
        <sz val="9"/>
        <color rgb="FF000000"/>
        <rFont val="Times New Roman"/>
        <charset val="134"/>
      </rPr>
      <t>-8.07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0.85</t>
    </r>
  </si>
  <si>
    <r>
      <rPr>
        <sz val="9"/>
        <color rgb="FF000000"/>
        <rFont val="Times New Roman"/>
        <charset val="134"/>
      </rPr>
      <t>-0.22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0.07</t>
    </r>
  </si>
  <si>
    <r>
      <rPr>
        <sz val="9"/>
        <color rgb="FF000000"/>
        <rFont val="Times New Roman"/>
        <charset val="134"/>
      </rPr>
      <t>3.49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0.69</t>
    </r>
  </si>
  <si>
    <r>
      <rPr>
        <sz val="9"/>
        <color rgb="FF000000"/>
        <rFont val="Times New Roman"/>
        <charset val="134"/>
      </rPr>
      <t>16.77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0.40</t>
    </r>
  </si>
  <si>
    <r>
      <rPr>
        <sz val="9"/>
        <color rgb="FF000000"/>
        <rFont val="Times New Roman"/>
        <charset val="134"/>
      </rPr>
      <t>6.85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0.22</t>
    </r>
  </si>
  <si>
    <r>
      <rPr>
        <sz val="9"/>
        <color rgb="FF000000"/>
        <rFont val="Times New Roman"/>
        <charset val="134"/>
      </rPr>
      <t>15.10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0.35</t>
    </r>
  </si>
  <si>
    <r>
      <rPr>
        <sz val="9"/>
        <color rgb="FF000000"/>
        <rFont val="Times New Roman"/>
        <charset val="134"/>
      </rPr>
      <t>1.55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0.28</t>
    </r>
  </si>
  <si>
    <r>
      <rPr>
        <sz val="9"/>
        <color rgb="FF000000"/>
        <rFont val="Times New Roman"/>
        <charset val="134"/>
      </rPr>
      <t>-12.37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0.54</t>
    </r>
  </si>
  <si>
    <r>
      <rPr>
        <sz val="9"/>
        <color rgb="FF000000"/>
        <rFont val="Times New Roman"/>
        <charset val="134"/>
      </rPr>
      <t>-0.2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0.06</t>
    </r>
  </si>
  <si>
    <r>
      <rPr>
        <sz val="9"/>
        <color rgb="FF000000"/>
        <rFont val="Times New Roman"/>
        <charset val="134"/>
      </rPr>
      <t>3.9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0.73</t>
    </r>
  </si>
  <si>
    <r>
      <rPr>
        <sz val="9"/>
        <color rgb="FF000000"/>
        <rFont val="Times New Roman"/>
        <charset val="134"/>
      </rPr>
      <t>19.99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0.63</t>
    </r>
  </si>
  <si>
    <r>
      <rPr>
        <sz val="9"/>
        <color rgb="FF000000"/>
        <rFont val="Times New Roman"/>
        <charset val="134"/>
      </rPr>
      <t>10.33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0.22</t>
    </r>
  </si>
  <si>
    <r>
      <rPr>
        <sz val="9"/>
        <color rgb="FF000000"/>
        <rFont val="Times New Roman"/>
        <charset val="134"/>
      </rPr>
      <t>22.22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0.18</t>
    </r>
  </si>
  <si>
    <r>
      <rPr>
        <sz val="9"/>
        <color rgb="FF000000"/>
        <rFont val="Times New Roman"/>
        <charset val="134"/>
      </rPr>
      <t>7.29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0.57</t>
    </r>
  </si>
  <si>
    <r>
      <rPr>
        <sz val="9"/>
        <color rgb="FF000000"/>
        <rFont val="Times New Roman"/>
        <charset val="134"/>
      </rPr>
      <t>1.04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0.91</t>
    </r>
  </si>
  <si>
    <r>
      <rPr>
        <sz val="9"/>
        <color rgb="FF000000"/>
        <rFont val="Times New Roman"/>
        <charset val="134"/>
      </rPr>
      <t>-0.33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0.06</t>
    </r>
  </si>
  <si>
    <r>
      <rPr>
        <sz val="9"/>
        <color rgb="FF000000"/>
        <rFont val="Times New Roman"/>
        <charset val="134"/>
      </rPr>
      <t>1.92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0.38</t>
    </r>
  </si>
  <si>
    <r>
      <rPr>
        <sz val="9"/>
        <color rgb="FF000000"/>
        <rFont val="Times New Roman"/>
        <charset val="134"/>
      </rPr>
      <t>12.12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0.06</t>
    </r>
  </si>
  <si>
    <r>
      <rPr>
        <sz val="9"/>
        <color rgb="FF000000"/>
        <rFont val="Times New Roman"/>
        <charset val="134"/>
      </rPr>
      <t>2.35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0.11</t>
    </r>
  </si>
  <si>
    <r>
      <rPr>
        <sz val="9"/>
        <color rgb="FF000000"/>
        <rFont val="Times New Roman"/>
        <charset val="134"/>
      </rPr>
      <t>3.66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0.72</t>
    </r>
  </si>
  <si>
    <r>
      <rPr>
        <sz val="9"/>
        <color rgb="FF000000"/>
        <rFont val="Times New Roman"/>
        <charset val="134"/>
      </rPr>
      <t>3.56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0.35</t>
    </r>
  </si>
  <si>
    <r>
      <rPr>
        <sz val="9"/>
        <color rgb="FF000000"/>
        <rFont val="Times New Roman"/>
        <charset val="134"/>
      </rPr>
      <t>-8.37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0.61</t>
    </r>
  </si>
  <si>
    <r>
      <rPr>
        <sz val="9"/>
        <color rgb="FF000000"/>
        <rFont val="Times New Roman"/>
        <charset val="134"/>
      </rPr>
      <t>-0.2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0.05</t>
    </r>
  </si>
  <si>
    <r>
      <rPr>
        <sz val="9"/>
        <color rgb="FF000000"/>
        <rFont val="Times New Roman"/>
        <charset val="134"/>
      </rPr>
      <t>3.21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0.55</t>
    </r>
  </si>
  <si>
    <r>
      <rPr>
        <sz val="9"/>
        <color rgb="FF000000"/>
        <rFont val="Times New Roman"/>
        <charset val="134"/>
      </rPr>
      <t>16.64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0.38</t>
    </r>
  </si>
  <si>
    <r>
      <rPr>
        <sz val="9"/>
        <color rgb="FF000000"/>
        <rFont val="Times New Roman"/>
        <charset val="134"/>
      </rPr>
      <t>6.62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0.20</t>
    </r>
  </si>
  <si>
    <r>
      <rPr>
        <sz val="9"/>
        <color rgb="FF000000"/>
        <rFont val="Times New Roman"/>
        <charset val="134"/>
      </rPr>
      <t>15.43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0.17</t>
    </r>
  </si>
  <si>
    <r>
      <rPr>
        <sz val="9"/>
        <color rgb="FF000000"/>
        <rFont val="Times New Roman"/>
        <charset val="134"/>
      </rPr>
      <t>2.32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0.25</t>
    </r>
  </si>
  <si>
    <r>
      <rPr>
        <sz val="9"/>
        <color rgb="FF000000"/>
        <rFont val="Times New Roman"/>
        <charset val="134"/>
      </rPr>
      <t>-10.72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0.39</t>
    </r>
  </si>
  <si>
    <r>
      <rPr>
        <sz val="9"/>
        <color rgb="FF000000"/>
        <rFont val="Times New Roman"/>
        <charset val="134"/>
      </rPr>
      <t>-0.1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0.05</t>
    </r>
  </si>
  <si>
    <r>
      <rPr>
        <sz val="9"/>
        <color rgb="FF000000"/>
        <rFont val="Times New Roman"/>
        <charset val="134"/>
      </rPr>
      <t>3.31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0.52</t>
    </r>
  </si>
  <si>
    <r>
      <rPr>
        <sz val="9"/>
        <color rgb="FF000000"/>
        <rFont val="Times New Roman"/>
        <charset val="134"/>
      </rPr>
      <t>18.26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0.48</t>
    </r>
  </si>
  <si>
    <r>
      <rPr>
        <sz val="9"/>
        <color rgb="FF000000"/>
        <rFont val="Times New Roman"/>
        <charset val="134"/>
      </rPr>
      <t>8.38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0.09</t>
    </r>
  </si>
  <si>
    <r>
      <rPr>
        <sz val="9"/>
        <color rgb="FF000000"/>
        <rFont val="Times New Roman"/>
        <charset val="134"/>
      </rPr>
      <t>18.85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0.10</t>
    </r>
  </si>
  <si>
    <r>
      <rPr>
        <sz val="9"/>
        <color rgb="FF000000"/>
        <rFont val="Times New Roman"/>
        <charset val="134"/>
      </rPr>
      <t>6.73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0.43</t>
    </r>
  </si>
  <si>
    <r>
      <rPr>
        <sz val="9"/>
        <color rgb="FF000000"/>
        <rFont val="Times New Roman"/>
        <charset val="134"/>
      </rPr>
      <t>-2.170.74</t>
    </r>
    <r>
      <rPr>
        <sz val="9"/>
        <color rgb="FF000000"/>
        <rFont val="宋体"/>
        <charset val="134"/>
      </rPr>
      <t>±</t>
    </r>
  </si>
  <si>
    <r>
      <rPr>
        <sz val="9"/>
        <color rgb="FF000000"/>
        <rFont val="Times New Roman"/>
        <charset val="134"/>
      </rPr>
      <t>2.16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0.39</t>
    </r>
  </si>
  <si>
    <r>
      <rPr>
        <sz val="9"/>
        <color rgb="FF000000"/>
        <rFont val="Times New Roman"/>
        <charset val="134"/>
      </rPr>
      <t>12.83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0.20</t>
    </r>
  </si>
  <si>
    <r>
      <rPr>
        <sz val="9"/>
        <color rgb="FF000000"/>
        <rFont val="Times New Roman"/>
        <charset val="134"/>
      </rPr>
      <t>3.32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0.10</t>
    </r>
  </si>
  <si>
    <r>
      <rPr>
        <sz val="9"/>
        <color rgb="FF000000"/>
        <rFont val="Times New Roman"/>
        <charset val="134"/>
      </rPr>
      <t>5.60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0.49</t>
    </r>
  </si>
  <si>
    <r>
      <rPr>
        <sz val="9"/>
        <color rgb="FF000000"/>
        <rFont val="Times New Roman"/>
        <charset val="134"/>
      </rPr>
      <t>3.2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0.25</t>
    </r>
  </si>
  <si>
    <r>
      <rPr>
        <sz val="9"/>
        <color rgb="FF000000"/>
        <rFont val="Times New Roman"/>
        <charset val="134"/>
      </rPr>
      <t>-9.14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0.44</t>
    </r>
  </si>
  <si>
    <r>
      <rPr>
        <sz val="9"/>
        <color rgb="FF000000"/>
        <rFont val="Times New Roman"/>
        <charset val="134"/>
      </rPr>
      <t>-0.13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0.05</t>
    </r>
  </si>
  <si>
    <r>
      <rPr>
        <sz val="9"/>
        <color rgb="FF000000"/>
        <rFont val="Times New Roman"/>
        <charset val="134"/>
      </rPr>
      <t>3.05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0.47</t>
    </r>
  </si>
  <si>
    <r>
      <rPr>
        <sz val="9"/>
        <color rgb="FF000000"/>
        <rFont val="Times New Roman"/>
        <charset val="134"/>
      </rPr>
      <t>17.09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0.41</t>
    </r>
  </si>
  <si>
    <r>
      <rPr>
        <sz val="9"/>
        <color rgb="FF000000"/>
        <rFont val="Times New Roman"/>
        <charset val="134"/>
      </rPr>
      <t>7.38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0.21</t>
    </r>
  </si>
  <si>
    <r>
      <rPr>
        <sz val="9"/>
        <color rgb="FF000000"/>
        <rFont val="Times New Roman"/>
        <charset val="134"/>
      </rPr>
      <t>16.22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0.07</t>
    </r>
  </si>
  <si>
    <r>
      <rPr>
        <sz val="9"/>
        <color rgb="FF000000"/>
        <rFont val="Times New Roman"/>
        <charset val="134"/>
      </rPr>
      <t>0.86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0.16</t>
    </r>
  </si>
  <si>
    <r>
      <rPr>
        <sz val="9"/>
        <color rgb="FF000000"/>
        <rFont val="Times New Roman"/>
        <charset val="134"/>
      </rPr>
      <t>-13.95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0.22</t>
    </r>
  </si>
  <si>
    <r>
      <rPr>
        <sz val="9"/>
        <color rgb="FF000000"/>
        <rFont val="Times New Roman"/>
        <charset val="134"/>
      </rPr>
      <t>-0.02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0.05</t>
    </r>
  </si>
  <si>
    <r>
      <rPr>
        <sz val="9"/>
        <color rgb="FF000000"/>
        <rFont val="Times New Roman"/>
        <charset val="134"/>
      </rPr>
      <t>3.42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0.51</t>
    </r>
  </si>
  <si>
    <r>
      <rPr>
        <sz val="9"/>
        <color rgb="FF000000"/>
        <rFont val="Times New Roman"/>
        <charset val="134"/>
      </rPr>
      <t>21.07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0.63</t>
    </r>
  </si>
  <si>
    <r>
      <rPr>
        <sz val="9"/>
        <color rgb="FF000000"/>
        <rFont val="Times New Roman"/>
        <charset val="134"/>
      </rPr>
      <t>12.4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0.35</t>
    </r>
  </si>
  <si>
    <r>
      <rPr>
        <sz val="9"/>
        <color rgb="FF000000"/>
        <rFont val="Times New Roman"/>
        <charset val="134"/>
      </rPr>
      <t>23.81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0.26</t>
    </r>
  </si>
  <si>
    <t>冲泡次数</t>
  </si>
  <si>
    <r>
      <rPr>
        <sz val="9"/>
        <color rgb="FF000000"/>
        <rFont val="Times New Roman"/>
        <charset val="134"/>
      </rPr>
      <t>5.80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0.16</t>
    </r>
  </si>
  <si>
    <r>
      <rPr>
        <sz val="9"/>
        <color rgb="FF000000"/>
        <rFont val="Times New Roman"/>
        <charset val="134"/>
      </rPr>
      <t>-0.44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0.25</t>
    </r>
  </si>
  <si>
    <r>
      <rPr>
        <sz val="9"/>
        <color rgb="FF000000"/>
        <rFont val="Times New Roman"/>
        <charset val="134"/>
      </rPr>
      <t>-0.50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0.01</t>
    </r>
  </si>
  <si>
    <r>
      <rPr>
        <sz val="9"/>
        <color rgb="FF000000"/>
        <rFont val="Times New Roman"/>
        <charset val="134"/>
      </rPr>
      <t>1.52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0.22</t>
    </r>
  </si>
  <si>
    <r>
      <rPr>
        <sz val="9"/>
        <color rgb="FF000000"/>
        <rFont val="Times New Roman"/>
        <charset val="134"/>
      </rPr>
      <t>15.45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0.22</t>
    </r>
  </si>
  <si>
    <r>
      <rPr>
        <sz val="9"/>
        <color rgb="FF000000"/>
        <rFont val="Times New Roman"/>
        <charset val="134"/>
      </rPr>
      <t>1.54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0.03</t>
    </r>
  </si>
  <si>
    <r>
      <rPr>
        <sz val="9"/>
        <color rgb="FF000000"/>
        <rFont val="Times New Roman"/>
        <charset val="134"/>
      </rPr>
      <t>9.17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0.17</t>
    </r>
  </si>
  <si>
    <r>
      <rPr>
        <sz val="9"/>
        <color rgb="FF000000"/>
        <rFont val="Times New Roman"/>
        <charset val="134"/>
      </rPr>
      <t>1.90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0.04</t>
    </r>
  </si>
  <si>
    <r>
      <rPr>
        <sz val="9"/>
        <color rgb="FF000000"/>
        <rFont val="Times New Roman"/>
        <charset val="134"/>
      </rPr>
      <t>-9.08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0.17</t>
    </r>
  </si>
  <si>
    <r>
      <rPr>
        <sz val="9"/>
        <color rgb="FF000000"/>
        <rFont val="Times New Roman"/>
        <charset val="134"/>
      </rPr>
      <t>-0.47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0.03</t>
    </r>
  </si>
  <si>
    <r>
      <rPr>
        <sz val="9"/>
        <color rgb="FF000000"/>
        <rFont val="Times New Roman"/>
        <charset val="134"/>
      </rPr>
      <t>3.35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00.36</t>
    </r>
  </si>
  <si>
    <r>
      <rPr>
        <sz val="9"/>
        <color rgb="FF000000"/>
        <rFont val="Times New Roman"/>
        <charset val="134"/>
      </rPr>
      <t>20.05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0.21</t>
    </r>
  </si>
  <si>
    <r>
      <rPr>
        <sz val="9"/>
        <color rgb="FF000000"/>
        <rFont val="Times New Roman"/>
        <charset val="134"/>
      </rPr>
      <t>6.19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0.13</t>
    </r>
  </si>
  <si>
    <r>
      <rPr>
        <sz val="9"/>
        <color rgb="FF000000"/>
        <rFont val="Times New Roman"/>
        <charset val="134"/>
      </rPr>
      <t>23.25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0.14</t>
    </r>
  </si>
  <si>
    <r>
      <rPr>
        <sz val="9"/>
        <color rgb="FF000000"/>
        <rFont val="Times New Roman"/>
        <charset val="134"/>
      </rPr>
      <t>4.38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0.05</t>
    </r>
  </si>
  <si>
    <r>
      <rPr>
        <sz val="9"/>
        <color rgb="FF000000"/>
        <rFont val="Times New Roman"/>
        <charset val="134"/>
      </rPr>
      <t>-4.22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0.16</t>
    </r>
  </si>
  <si>
    <r>
      <rPr>
        <sz val="9"/>
        <color rgb="FF000000"/>
        <rFont val="Times New Roman"/>
        <charset val="134"/>
      </rPr>
      <t>-0.46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0.01</t>
    </r>
  </si>
  <si>
    <r>
      <rPr>
        <sz val="9"/>
        <color rgb="FF000000"/>
        <rFont val="Times New Roman"/>
        <charset val="134"/>
      </rPr>
      <t>2.60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0.23</t>
    </r>
  </si>
  <si>
    <r>
      <rPr>
        <sz val="9"/>
        <color rgb="FF000000"/>
        <rFont val="Times New Roman"/>
        <charset val="134"/>
      </rPr>
      <t>18.29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0.23</t>
    </r>
  </si>
  <si>
    <r>
      <rPr>
        <sz val="9"/>
        <color rgb="FF000000"/>
        <rFont val="Times New Roman"/>
        <charset val="134"/>
      </rPr>
      <t>4.28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0.09</t>
    </r>
  </si>
  <si>
    <r>
      <rPr>
        <sz val="9"/>
        <color rgb="FF000000"/>
        <rFont val="Times New Roman"/>
        <charset val="134"/>
      </rPr>
      <t>17.34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0.13</t>
    </r>
  </si>
  <si>
    <t>发酵前后对比</t>
  </si>
  <si>
    <t>春发酵前</t>
  </si>
  <si>
    <t>春发酵</t>
  </si>
  <si>
    <t>春成品</t>
  </si>
  <si>
    <t>夏发酵前</t>
  </si>
  <si>
    <t>夏发酵</t>
  </si>
  <si>
    <t>夏成品</t>
  </si>
  <si>
    <t>秋发酵前</t>
  </si>
  <si>
    <t>秋发酵</t>
  </si>
  <si>
    <t>秋成品</t>
  </si>
  <si>
    <t>group</t>
  </si>
  <si>
    <t>sample</t>
  </si>
  <si>
    <r>
      <rPr>
        <sz val="9"/>
        <color rgb="FF000000"/>
        <rFont val="宋体"/>
        <charset val="134"/>
      </rPr>
      <t>苦味</t>
    </r>
  </si>
  <si>
    <r>
      <rPr>
        <sz val="9"/>
        <color rgb="FF000000"/>
        <rFont val="宋体"/>
        <charset val="134"/>
      </rPr>
      <t>涩味</t>
    </r>
  </si>
  <si>
    <r>
      <rPr>
        <sz val="9"/>
        <color rgb="FF000000"/>
        <rFont val="宋体"/>
        <charset val="134"/>
      </rPr>
      <t>苦味回味</t>
    </r>
  </si>
  <si>
    <r>
      <rPr>
        <sz val="9"/>
        <color rgb="FF000000"/>
        <rFont val="宋体"/>
        <charset val="134"/>
      </rPr>
      <t>涩味回味</t>
    </r>
  </si>
  <si>
    <r>
      <rPr>
        <sz val="9"/>
        <color rgb="FF000000"/>
        <rFont val="宋体"/>
        <charset val="134"/>
      </rPr>
      <t>鲜味</t>
    </r>
  </si>
  <si>
    <r>
      <rPr>
        <sz val="9"/>
        <color rgb="FF000000"/>
        <rFont val="宋体"/>
        <charset val="134"/>
      </rPr>
      <t>丰富性</t>
    </r>
  </si>
  <si>
    <r>
      <rPr>
        <sz val="9"/>
        <color rgb="FF000000"/>
        <rFont val="宋体"/>
        <charset val="134"/>
      </rPr>
      <t>咸味</t>
    </r>
  </si>
  <si>
    <t>PC1 (45.1%)</t>
  </si>
  <si>
    <t>PC2 (36.1%)</t>
  </si>
  <si>
    <r>
      <rPr>
        <sz val="9"/>
        <color rgb="FF000000"/>
        <rFont val="宋体"/>
        <charset val="134"/>
      </rPr>
      <t>春发酵前</t>
    </r>
  </si>
  <si>
    <r>
      <rPr>
        <sz val="9"/>
        <color rgb="FF000000"/>
        <rFont val="宋体"/>
        <charset val="134"/>
      </rPr>
      <t>春发酵</t>
    </r>
  </si>
  <si>
    <r>
      <rPr>
        <sz val="9"/>
        <color rgb="FF000000"/>
        <rFont val="宋体"/>
        <charset val="134"/>
      </rPr>
      <t>春成品</t>
    </r>
  </si>
  <si>
    <t>特征值</t>
  </si>
  <si>
    <t>贡献率</t>
  </si>
  <si>
    <r>
      <rPr>
        <sz val="9"/>
        <color rgb="FF000000"/>
        <rFont val="宋体"/>
        <charset val="134"/>
      </rPr>
      <t>夏发酵前</t>
    </r>
  </si>
  <si>
    <r>
      <rPr>
        <sz val="9"/>
        <color rgb="FF000000"/>
        <rFont val="宋体"/>
        <charset val="134"/>
      </rPr>
      <t>夏发酵</t>
    </r>
  </si>
  <si>
    <r>
      <rPr>
        <sz val="9"/>
        <color rgb="FF000000"/>
        <rFont val="宋体"/>
        <charset val="134"/>
      </rPr>
      <t>夏成品</t>
    </r>
  </si>
  <si>
    <r>
      <rPr>
        <sz val="9"/>
        <color rgb="FF000000"/>
        <rFont val="宋体"/>
        <charset val="134"/>
      </rPr>
      <t>秋发酵前</t>
    </r>
  </si>
  <si>
    <r>
      <rPr>
        <sz val="9"/>
        <color rgb="FF000000"/>
        <rFont val="宋体"/>
        <charset val="134"/>
      </rPr>
      <t>秋发酵</t>
    </r>
  </si>
  <si>
    <r>
      <rPr>
        <sz val="9"/>
        <color rgb="FF000000"/>
        <rFont val="宋体"/>
        <charset val="134"/>
      </rPr>
      <t>秋成品</t>
    </r>
  </si>
  <si>
    <t>项目</t>
  </si>
  <si>
    <t>PC1</t>
  </si>
  <si>
    <t>PC2</t>
  </si>
  <si>
    <t>贡献率%</t>
  </si>
  <si>
    <t>春-发酵前</t>
  </si>
  <si>
    <r>
      <rPr>
        <sz val="9"/>
        <color rgb="FF000000"/>
        <rFont val="Times New Roman"/>
        <charset val="134"/>
      </rPr>
      <t>1.29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0.11</t>
    </r>
  </si>
  <si>
    <r>
      <rPr>
        <sz val="9"/>
        <color rgb="FF000000"/>
        <rFont val="Times New Roman"/>
        <charset val="134"/>
      </rPr>
      <t>-12.12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0.54</t>
    </r>
  </si>
  <si>
    <r>
      <rPr>
        <sz val="9"/>
        <color rgb="FF000000"/>
        <rFont val="Times New Roman"/>
        <charset val="134"/>
      </rPr>
      <t>-0.30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0.02</t>
    </r>
  </si>
  <si>
    <r>
      <rPr>
        <sz val="9"/>
        <color rgb="FF000000"/>
        <rFont val="Times New Roman"/>
        <charset val="134"/>
      </rPr>
      <t>1.94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0.49</t>
    </r>
  </si>
  <si>
    <r>
      <rPr>
        <sz val="9"/>
        <color rgb="FF000000"/>
        <rFont val="Times New Roman"/>
        <charset val="134"/>
      </rPr>
      <t>19.05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0.91</t>
    </r>
  </si>
  <si>
    <r>
      <rPr>
        <sz val="9"/>
        <color rgb="FF000000"/>
        <rFont val="Times New Roman"/>
        <charset val="134"/>
      </rPr>
      <t>4.73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0.75</t>
    </r>
  </si>
  <si>
    <r>
      <rPr>
        <sz val="9"/>
        <color rgb="FF000000"/>
        <rFont val="Times New Roman"/>
        <charset val="134"/>
      </rPr>
      <t>24.83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0.19</t>
    </r>
  </si>
  <si>
    <t>春-发酵后</t>
  </si>
  <si>
    <r>
      <rPr>
        <sz val="9"/>
        <color rgb="FF000000"/>
        <rFont val="Times New Roman"/>
        <charset val="134"/>
      </rPr>
      <t>1.24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0.22</t>
    </r>
  </si>
  <si>
    <r>
      <rPr>
        <sz val="9"/>
        <color rgb="FF000000"/>
        <rFont val="Times New Roman"/>
        <charset val="134"/>
      </rPr>
      <t>-7.50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0.72</t>
    </r>
  </si>
  <si>
    <r>
      <rPr>
        <sz val="9"/>
        <color rgb="FF000000"/>
        <rFont val="Times New Roman"/>
        <charset val="134"/>
      </rPr>
      <t>-0.20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0.02</t>
    </r>
  </si>
  <si>
    <r>
      <rPr>
        <sz val="9"/>
        <color rgb="FF000000"/>
        <rFont val="Times New Roman"/>
        <charset val="134"/>
      </rPr>
      <t>1.57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0.36</t>
    </r>
  </si>
  <si>
    <r>
      <rPr>
        <sz val="9"/>
        <color rgb="FF000000"/>
        <rFont val="Times New Roman"/>
        <charset val="134"/>
      </rPr>
      <t>13.86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0.58</t>
    </r>
  </si>
  <si>
    <r>
      <rPr>
        <sz val="9"/>
        <color rgb="FF000000"/>
        <rFont val="Times New Roman"/>
        <charset val="134"/>
      </rPr>
      <t>3.54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0.52</t>
    </r>
  </si>
  <si>
    <r>
      <rPr>
        <sz val="9"/>
        <color rgb="FF000000"/>
        <rFont val="Times New Roman"/>
        <charset val="134"/>
      </rPr>
      <t>13.14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0.37</t>
    </r>
  </si>
  <si>
    <t>夏-发酵前</t>
  </si>
  <si>
    <r>
      <rPr>
        <sz val="9"/>
        <color rgb="FF000000"/>
        <rFont val="Times New Roman"/>
        <charset val="134"/>
      </rPr>
      <t>2.84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0.22</t>
    </r>
  </si>
  <si>
    <r>
      <rPr>
        <sz val="9"/>
        <color rgb="FF000000"/>
        <rFont val="Times New Roman"/>
        <charset val="134"/>
      </rPr>
      <t>-8.74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0.72</t>
    </r>
  </si>
  <si>
    <r>
      <rPr>
        <sz val="9"/>
        <color rgb="FF000000"/>
        <rFont val="Times New Roman"/>
        <charset val="134"/>
      </rPr>
      <t>1.63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0.33</t>
    </r>
  </si>
  <si>
    <r>
      <rPr>
        <sz val="9"/>
        <color rgb="FF000000"/>
        <rFont val="Times New Roman"/>
        <charset val="134"/>
      </rPr>
      <t>16.92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0.69</t>
    </r>
  </si>
  <si>
    <r>
      <rPr>
        <sz val="9"/>
        <color rgb="FF000000"/>
        <rFont val="Times New Roman"/>
        <charset val="134"/>
      </rPr>
      <t>3.53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0.53</t>
    </r>
  </si>
  <si>
    <r>
      <rPr>
        <sz val="9"/>
        <color rgb="FF000000"/>
        <rFont val="Times New Roman"/>
        <charset val="134"/>
      </rPr>
      <t>17.99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0.21</t>
    </r>
  </si>
  <si>
    <t>夏-发酵后</t>
  </si>
  <si>
    <r>
      <rPr>
        <sz val="9"/>
        <color rgb="FF000000"/>
        <rFont val="Times New Roman"/>
        <charset val="134"/>
      </rPr>
      <t>2.05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0.20</t>
    </r>
  </si>
  <si>
    <r>
      <rPr>
        <sz val="9"/>
        <color rgb="FF000000"/>
        <rFont val="Times New Roman"/>
        <charset val="134"/>
      </rPr>
      <t>-8.01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0.72</t>
    </r>
  </si>
  <si>
    <r>
      <rPr>
        <sz val="9"/>
        <color rgb="FF000000"/>
        <rFont val="Times New Roman"/>
        <charset val="134"/>
      </rPr>
      <t>0.30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0.02</t>
    </r>
  </si>
  <si>
    <r>
      <rPr>
        <sz val="9"/>
        <color rgb="FF000000"/>
        <rFont val="Times New Roman"/>
        <charset val="134"/>
      </rPr>
      <t>1.56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0.30</t>
    </r>
  </si>
  <si>
    <r>
      <rPr>
        <sz val="9"/>
        <color rgb="FF000000"/>
        <rFont val="Times New Roman"/>
        <charset val="134"/>
      </rPr>
      <t>15.43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0.58</t>
    </r>
  </si>
  <si>
    <r>
      <rPr>
        <sz val="9"/>
        <color rgb="FF000000"/>
        <rFont val="Times New Roman"/>
        <charset val="134"/>
      </rPr>
      <t>3.06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0.47</t>
    </r>
  </si>
  <si>
    <r>
      <rPr>
        <sz val="9"/>
        <color rgb="FF000000"/>
        <rFont val="Times New Roman"/>
        <charset val="134"/>
      </rPr>
      <t>15.51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0.31</t>
    </r>
  </si>
  <si>
    <t>秋-发酵前</t>
  </si>
  <si>
    <r>
      <rPr>
        <sz val="9"/>
        <color rgb="FF000000"/>
        <rFont val="Times New Roman"/>
        <charset val="134"/>
      </rPr>
      <t>1.18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0.07</t>
    </r>
  </si>
  <si>
    <r>
      <rPr>
        <sz val="9"/>
        <color rgb="FF000000"/>
        <rFont val="Times New Roman"/>
        <charset val="134"/>
      </rPr>
      <t>-12.76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0.35</t>
    </r>
  </si>
  <si>
    <r>
      <rPr>
        <sz val="9"/>
        <color rgb="FF000000"/>
        <rFont val="Times New Roman"/>
        <charset val="134"/>
      </rPr>
      <t>-0.25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0.02</t>
    </r>
  </si>
  <si>
    <r>
      <rPr>
        <sz val="9"/>
        <color rgb="FF000000"/>
        <rFont val="Times New Roman"/>
        <charset val="134"/>
      </rPr>
      <t>1.75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0.34</t>
    </r>
  </si>
  <si>
    <r>
      <rPr>
        <sz val="9"/>
        <color rgb="FF000000"/>
        <rFont val="Times New Roman"/>
        <charset val="134"/>
      </rPr>
      <t>19.21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0.68</t>
    </r>
  </si>
  <si>
    <r>
      <rPr>
        <sz val="9"/>
        <color rgb="FF000000"/>
        <rFont val="Times New Roman"/>
        <charset val="134"/>
      </rPr>
      <t>4.81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0.74</t>
    </r>
  </si>
  <si>
    <r>
      <rPr>
        <sz val="9"/>
        <color rgb="FF000000"/>
        <rFont val="Times New Roman"/>
        <charset val="134"/>
      </rPr>
      <t>25.87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0.33</t>
    </r>
  </si>
  <si>
    <t>秋-发酵后</t>
  </si>
  <si>
    <r>
      <rPr>
        <sz val="9"/>
        <color rgb="FF000000"/>
        <rFont val="Times New Roman"/>
        <charset val="134"/>
      </rPr>
      <t>0.57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0.03</t>
    </r>
  </si>
  <si>
    <r>
      <rPr>
        <sz val="9"/>
        <color rgb="FF000000"/>
        <rFont val="Times New Roman"/>
        <charset val="134"/>
      </rPr>
      <t>-8.98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0.39</t>
    </r>
  </si>
  <si>
    <r>
      <rPr>
        <sz val="9"/>
        <color rgb="FF000000"/>
        <rFont val="Times New Roman"/>
        <charset val="134"/>
      </rPr>
      <t>0.02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0.02</t>
    </r>
  </si>
  <si>
    <r>
      <rPr>
        <sz val="9"/>
        <color rgb="FF000000"/>
        <rFont val="Times New Roman"/>
        <charset val="134"/>
      </rPr>
      <t>1.61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0.27</t>
    </r>
  </si>
  <si>
    <r>
      <rPr>
        <sz val="9"/>
        <color rgb="FF000000"/>
        <rFont val="Times New Roman"/>
        <charset val="134"/>
      </rPr>
      <t>14.07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0.46</t>
    </r>
  </si>
  <si>
    <r>
      <rPr>
        <sz val="9"/>
        <color rgb="FF000000"/>
        <rFont val="Times New Roman"/>
        <charset val="134"/>
      </rPr>
      <t>4.59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0.55</t>
    </r>
  </si>
  <si>
    <r>
      <rPr>
        <sz val="9"/>
        <color rgb="FF000000"/>
        <rFont val="Times New Roman"/>
        <charset val="134"/>
      </rPr>
      <t>15.19</t>
    </r>
    <r>
      <rPr>
        <sz val="9"/>
        <color rgb="FF000000"/>
        <rFont val="宋体"/>
        <charset val="134"/>
      </rPr>
      <t>±</t>
    </r>
    <r>
      <rPr>
        <sz val="9"/>
        <color rgb="FF000000"/>
        <rFont val="Times New Roman"/>
        <charset val="134"/>
      </rPr>
      <t>0.10</t>
    </r>
  </si>
  <si>
    <t>均值</t>
  </si>
  <si>
    <t>g</t>
  </si>
  <si>
    <r>
      <rPr>
        <sz val="9"/>
        <color rgb="FF000000"/>
        <rFont val="Times New Roman"/>
        <charset val="134"/>
      </rPr>
      <t>s</t>
    </r>
    <r>
      <rPr>
        <vertAlign val="subscript"/>
        <sz val="9"/>
        <color rgb="FF000000"/>
        <rFont val="Times New Roman"/>
        <charset val="134"/>
      </rPr>
      <t>1</t>
    </r>
  </si>
  <si>
    <r>
      <rPr>
        <sz val="9"/>
        <color rgb="FF000000"/>
        <rFont val="Times New Roman"/>
        <charset val="134"/>
      </rPr>
      <t>s</t>
    </r>
    <r>
      <rPr>
        <vertAlign val="subscript"/>
        <sz val="9"/>
        <color rgb="FF000000"/>
        <rFont val="Times New Roman"/>
        <charset val="134"/>
      </rPr>
      <t>2</t>
    </r>
  </si>
  <si>
    <r>
      <rPr>
        <sz val="9"/>
        <color rgb="FF000000"/>
        <rFont val="Times New Roman"/>
        <charset val="134"/>
      </rPr>
      <t>m</t>
    </r>
    <r>
      <rPr>
        <vertAlign val="subscript"/>
        <sz val="9"/>
        <color rgb="FF000000"/>
        <rFont val="Times New Roman"/>
        <charset val="134"/>
      </rPr>
      <t>1</t>
    </r>
    <r>
      <rPr>
        <sz val="9"/>
        <color rgb="FF000000"/>
        <rFont val="Times New Roman"/>
        <charset val="134"/>
      </rPr>
      <t>/%</t>
    </r>
  </si>
  <si>
    <r>
      <rPr>
        <sz val="9"/>
        <color rgb="FF000000"/>
        <rFont val="Times New Roman"/>
        <charset val="134"/>
      </rPr>
      <t>m</t>
    </r>
    <r>
      <rPr>
        <vertAlign val="subscript"/>
        <sz val="9"/>
        <color rgb="FF000000"/>
        <rFont val="Times New Roman"/>
        <charset val="134"/>
      </rPr>
      <t>2</t>
    </r>
    <r>
      <rPr>
        <sz val="9"/>
        <color rgb="FF000000"/>
        <rFont val="Times New Roman"/>
        <charset val="134"/>
      </rPr>
      <t>/%</t>
    </r>
  </si>
  <si>
    <t>感官评分表</t>
  </si>
  <si>
    <t>外形（25%）</t>
  </si>
  <si>
    <t>香气（25%）</t>
  </si>
  <si>
    <t>滋味（30%）</t>
  </si>
  <si>
    <t>汤色（10%）</t>
  </si>
  <si>
    <t>叶底（10%）</t>
  </si>
  <si>
    <t>总分</t>
  </si>
  <si>
    <t>感官描述</t>
  </si>
  <si>
    <t>得分</t>
  </si>
  <si>
    <t>较壮结，砂绿较明显</t>
  </si>
  <si>
    <t>略带粗气</t>
  </si>
  <si>
    <t>浓尚醇，醇厚滑爽</t>
  </si>
  <si>
    <t>蜜黄，较明亮</t>
  </si>
  <si>
    <t>软亮，略匀整，无红边</t>
  </si>
  <si>
    <t>外形较匀整，色欠润</t>
  </si>
  <si>
    <t>浓醇较爽，尚醇厚滑爽</t>
  </si>
  <si>
    <t>橙红，较明亮</t>
  </si>
  <si>
    <t>软亮，较匀整，无红边</t>
  </si>
  <si>
    <t>匀整，色欠润</t>
  </si>
  <si>
    <t>橙红，清澈明亮</t>
  </si>
  <si>
    <t>叶质较软亮，较匀整，有红边</t>
  </si>
  <si>
    <t>色欠润，较匀整，净度尚好</t>
  </si>
  <si>
    <t>浓醇较爽，略有粗糙感</t>
  </si>
  <si>
    <t>蜜黄，清澈明亮</t>
  </si>
  <si>
    <t>紧结，净度好，匀整</t>
  </si>
  <si>
    <t>香气纯正性稍差</t>
  </si>
  <si>
    <t>较软亮，较匀整，有红边</t>
  </si>
  <si>
    <t>散乱，较匀整</t>
  </si>
  <si>
    <t>纯正性稍差</t>
  </si>
  <si>
    <t>带有菌香，略有粗糙感</t>
  </si>
  <si>
    <t>色稍浅，欠亮</t>
  </si>
  <si>
    <t>色深，软亮，无红边</t>
  </si>
  <si>
    <t>色偏黑，尚紧实，较匀整</t>
  </si>
  <si>
    <t>浓郁性稍差</t>
  </si>
  <si>
    <t>色浅，欠亮</t>
  </si>
  <si>
    <t>色深，软亮，有红边</t>
  </si>
  <si>
    <t>尚紧实，有黄片，欠匀整</t>
  </si>
  <si>
    <t>较软亮，匀整，有红边</t>
  </si>
  <si>
    <t>尚紧实，欠匀整</t>
  </si>
  <si>
    <t>优雅，带有菌香</t>
  </si>
  <si>
    <t>浓尚醇，尚醇厚滑爽</t>
  </si>
  <si>
    <t>色欠润，欠匀整</t>
  </si>
  <si>
    <t>带有菌香</t>
  </si>
  <si>
    <t>软亮，匀整，有红边</t>
  </si>
  <si>
    <t>较壮结，色欠润</t>
  </si>
  <si>
    <t>叶质软亮，匀整，有红边</t>
  </si>
  <si>
    <t>色润，较匀整，净度尚好</t>
  </si>
  <si>
    <t>菌香明显</t>
  </si>
  <si>
    <t>浓尚醇，略有粗糙感</t>
  </si>
  <si>
    <t>香气优雅，带有菌香</t>
  </si>
  <si>
    <t>散乱 ，较匀整</t>
  </si>
  <si>
    <t>略带菌香</t>
  </si>
  <si>
    <t>色欠润，较匀整</t>
  </si>
  <si>
    <t>较软亮，匀整，无红边</t>
  </si>
  <si>
    <t>较壮结，色润，净度尚好</t>
  </si>
  <si>
    <t>色欠润，较匀整，净度稍差</t>
  </si>
  <si>
    <t>带有菌香，尚醇厚滑爽</t>
  </si>
  <si>
    <t>纯正性稍差，略带菌香</t>
  </si>
  <si>
    <t>色稍浅，较明亮</t>
  </si>
  <si>
    <t>尚醇厚滑爽，略有粗糙感</t>
  </si>
  <si>
    <t>软亮，较匀整，有红边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</si>
</sst>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.0000_ "/>
    <numFmt numFmtId="179" formatCode="0.000000_ "/>
    <numFmt numFmtId="180" formatCode="0.00000%"/>
  </numFmts>
  <fonts count="31">
    <font>
      <sz val="11"/>
      <color theme="1"/>
      <name val="等线"/>
      <charset val="134"/>
      <scheme val="minor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11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sz val="11"/>
      <color theme="0" tint="-0.499984740745262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bscript"/>
      <sz val="9"/>
      <color rgb="FF000000"/>
      <name val="Times New Roman"/>
      <charset val="134"/>
    </font>
  </fonts>
  <fills count="4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4" tint="0.399884029663991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6" borderId="21" applyNumberFormat="0" applyAlignment="0" applyProtection="0">
      <alignment vertical="center"/>
    </xf>
    <xf numFmtId="0" fontId="20" fillId="17" borderId="22" applyNumberFormat="0" applyAlignment="0" applyProtection="0">
      <alignment vertical="center"/>
    </xf>
    <xf numFmtId="0" fontId="21" fillId="17" borderId="21" applyNumberFormat="0" applyAlignment="0" applyProtection="0">
      <alignment vertical="center"/>
    </xf>
    <xf numFmtId="0" fontId="22" fillId="18" borderId="23" applyNumberFormat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>
      <alignment vertical="center"/>
    </xf>
    <xf numFmtId="0" fontId="3" fillId="0" borderId="13" xfId="0" applyFont="1" applyBorder="1" applyAlignment="1">
      <alignment horizontal="center" vertical="center" wrapText="1"/>
    </xf>
    <xf numFmtId="17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14" xfId="0" applyFont="1" applyBorder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0" fillId="4" borderId="0" xfId="0" applyFont="1" applyFill="1">
      <alignment vertical="center"/>
    </xf>
    <xf numFmtId="177" fontId="0" fillId="0" borderId="0" xfId="0" applyNumberFormat="1">
      <alignment vertical="center"/>
    </xf>
    <xf numFmtId="0" fontId="8" fillId="0" borderId="0" xfId="0" applyFont="1">
      <alignment vertical="center"/>
    </xf>
    <xf numFmtId="10" fontId="0" fillId="0" borderId="0" xfId="0" applyNumberFormat="1">
      <alignment vertical="center"/>
    </xf>
    <xf numFmtId="0" fontId="9" fillId="0" borderId="0" xfId="0" applyFont="1">
      <alignment vertical="center"/>
    </xf>
    <xf numFmtId="177" fontId="0" fillId="2" borderId="0" xfId="0" applyNumberFormat="1" applyFill="1">
      <alignment vertical="center"/>
    </xf>
    <xf numFmtId="0" fontId="9" fillId="0" borderId="0" xfId="0" applyFont="1" applyFill="1">
      <alignment vertical="center"/>
    </xf>
    <xf numFmtId="0" fontId="0" fillId="2" borderId="0" xfId="0" applyFont="1" applyFill="1">
      <alignment vertical="center"/>
    </xf>
    <xf numFmtId="0" fontId="8" fillId="2" borderId="0" xfId="0" applyFont="1" applyFill="1">
      <alignment vertical="center"/>
    </xf>
    <xf numFmtId="178" fontId="0" fillId="0" borderId="0" xfId="0" applyNumberFormat="1">
      <alignment vertical="center"/>
    </xf>
    <xf numFmtId="178" fontId="0" fillId="2" borderId="0" xfId="0" applyNumberFormat="1" applyFill="1">
      <alignment vertical="center"/>
    </xf>
    <xf numFmtId="0" fontId="0" fillId="5" borderId="0" xfId="0" applyFont="1" applyFill="1">
      <alignment vertical="center"/>
    </xf>
    <xf numFmtId="0" fontId="0" fillId="6" borderId="0" xfId="0" applyFill="1">
      <alignment vertical="center"/>
    </xf>
    <xf numFmtId="10" fontId="0" fillId="6" borderId="0" xfId="0" applyNumberFormat="1" applyFill="1">
      <alignment vertical="center"/>
    </xf>
    <xf numFmtId="0" fontId="8" fillId="6" borderId="0" xfId="0" applyFont="1" applyFill="1">
      <alignment vertical="center"/>
    </xf>
    <xf numFmtId="0" fontId="0" fillId="6" borderId="0" xfId="0" applyFont="1" applyFill="1">
      <alignment vertical="center"/>
    </xf>
    <xf numFmtId="0" fontId="0" fillId="0" borderId="0" xfId="0" applyFont="1" applyFill="1">
      <alignment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76" fontId="0" fillId="6" borderId="0" xfId="0" applyNumberFormat="1" applyFill="1">
      <alignment vertical="center"/>
    </xf>
    <xf numFmtId="0" fontId="0" fillId="0" borderId="0" xfId="0" applyFont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8" borderId="0" xfId="0" applyFill="1" applyAlignment="1">
      <alignment horizontal="center" vertical="center"/>
    </xf>
    <xf numFmtId="177" fontId="0" fillId="8" borderId="0" xfId="0" applyNumberFormat="1" applyFill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4" borderId="0" xfId="0" applyFill="1">
      <alignment vertical="center"/>
    </xf>
    <xf numFmtId="0" fontId="0" fillId="0" borderId="0" xfId="0" applyFill="1">
      <alignment vertical="center"/>
    </xf>
    <xf numFmtId="0" fontId="0" fillId="9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9" borderId="0" xfId="0" applyFont="1" applyFill="1">
      <alignment vertical="center"/>
    </xf>
    <xf numFmtId="0" fontId="0" fillId="10" borderId="0" xfId="0" applyFont="1" applyFill="1" applyAlignment="1">
      <alignment horizontal="center" vertical="center"/>
    </xf>
    <xf numFmtId="0" fontId="0" fillId="3" borderId="0" xfId="0" applyFont="1" applyFill="1">
      <alignment vertical="center"/>
    </xf>
    <xf numFmtId="0" fontId="0" fillId="11" borderId="0" xfId="0" applyFont="1" applyFill="1">
      <alignment vertical="center"/>
    </xf>
    <xf numFmtId="0" fontId="0" fillId="12" borderId="0" xfId="0" applyFill="1">
      <alignment vertical="center"/>
    </xf>
    <xf numFmtId="0" fontId="0" fillId="13" borderId="0" xfId="0" applyFill="1">
      <alignment vertical="center"/>
    </xf>
    <xf numFmtId="0" fontId="0" fillId="13" borderId="0" xfId="0" applyFont="1" applyFill="1">
      <alignment vertical="center"/>
    </xf>
    <xf numFmtId="177" fontId="0" fillId="13" borderId="0" xfId="0" applyNumberFormat="1" applyFill="1">
      <alignment vertical="center"/>
    </xf>
    <xf numFmtId="10" fontId="0" fillId="0" borderId="0" xfId="0" applyNumberFormat="1" applyAlignment="1">
      <alignment horizontal="center" vertical="center"/>
    </xf>
    <xf numFmtId="0" fontId="0" fillId="14" borderId="0" xfId="0" applyFill="1">
      <alignment vertical="center"/>
    </xf>
    <xf numFmtId="9" fontId="0" fillId="0" borderId="0" xfId="0" applyNumberFormat="1" applyFont="1">
      <alignment vertical="center"/>
    </xf>
    <xf numFmtId="177" fontId="0" fillId="0" borderId="0" xfId="0" applyNumberFormat="1" applyFont="1" applyAlignment="1">
      <alignment horizontal="center" vertical="center"/>
    </xf>
    <xf numFmtId="177" fontId="0" fillId="0" borderId="0" xfId="0" applyNumberFormat="1" applyFont="1">
      <alignment vertical="center"/>
    </xf>
    <xf numFmtId="179" fontId="0" fillId="0" borderId="0" xfId="0" applyNumberFormat="1">
      <alignment vertical="center"/>
    </xf>
    <xf numFmtId="180" fontId="9" fillId="0" borderId="0" xfId="0" applyNumberFormat="1" applyFont="1" applyAlignment="1">
      <alignment horizontal="center" vertical="center"/>
    </xf>
    <xf numFmtId="0" fontId="0" fillId="12" borderId="0" xfId="0" applyFont="1" applyFill="1">
      <alignment vertical="center"/>
    </xf>
    <xf numFmtId="0" fontId="0" fillId="10" borderId="0" xfId="0" applyFont="1" applyFill="1">
      <alignment vertical="center"/>
    </xf>
    <xf numFmtId="0" fontId="0" fillId="10" borderId="0" xfId="0" applyFill="1">
      <alignment vertical="center"/>
    </xf>
    <xf numFmtId="177" fontId="0" fillId="10" borderId="0" xfId="0" applyNumberForma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茶多酚标曲</a:t>
            </a:r>
            <a:endParaRPr lang="en-US" altLang="zh-C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理化成分标准曲线!$D$53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6361329833771"/>
                  <c:y val="0.2569878244386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理化成分标准曲线!$C$54:$C$59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xVal>
          <c:yVal>
            <c:numRef>
              <c:f>理化成分标准曲线!$D$54:$D$59</c:f>
              <c:numCache>
                <c:formatCode>General</c:formatCode>
                <c:ptCount val="6"/>
                <c:pt idx="0">
                  <c:v>0</c:v>
                </c:pt>
                <c:pt idx="1">
                  <c:v>0.082</c:v>
                </c:pt>
                <c:pt idx="2">
                  <c:v>0.131</c:v>
                </c:pt>
                <c:pt idx="3">
                  <c:v>0.179</c:v>
                </c:pt>
                <c:pt idx="4">
                  <c:v>0.243</c:v>
                </c:pt>
                <c:pt idx="5">
                  <c:v>0.284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448351"/>
        <c:axId val="1591443551"/>
      </c:scatterChart>
      <c:valAx>
        <c:axId val="15914483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含量</a:t>
                </a:r>
                <a:r>
                  <a:rPr lang="en-US" altLang="zh-CN"/>
                  <a:t>ug</a:t>
                </a:r>
                <a:endParaRPr lang="zh-CN" altLang="en-US"/>
              </a:p>
            </c:rich>
          </c:tx>
          <c:layout>
            <c:manualLayout>
              <c:xMode val="edge"/>
              <c:yMode val="edge"/>
              <c:x val="0.451534098491926"/>
              <c:y val="0.83328290468986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91443551"/>
        <c:crosses val="autoZero"/>
        <c:crossBetween val="midCat"/>
      </c:valAx>
      <c:valAx>
        <c:axId val="159144355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吸光度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91448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483c8dfd-c5f1-4644-b565-f0fd7b7673de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氨基酸标曲</a:t>
            </a:r>
            <a:endParaRPr lang="en-US" altLang="zh-C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4771715179438"/>
          <c:y val="0.230662406587971"/>
          <c:w val="0.732919241259226"/>
          <c:h val="0.548284961833082"/>
        </c:manualLayout>
      </c:layout>
      <c:scatterChart>
        <c:scatterStyle val="lineMarker"/>
        <c:varyColors val="0"/>
        <c:ser>
          <c:idx val="0"/>
          <c:order val="0"/>
          <c:tx>
            <c:strRef>
              <c:f>理化成分标准曲线!$D$75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5480068416105"/>
                  <c:y val="0.1700167105597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理化成分标准曲线!$C$76:$C$81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</c:numCache>
            </c:numRef>
          </c:xVal>
          <c:yVal>
            <c:numRef>
              <c:f>理化成分标准曲线!$D$76:$D$81</c:f>
              <c:numCache>
                <c:formatCode>General</c:formatCode>
                <c:ptCount val="6"/>
                <c:pt idx="0">
                  <c:v>0</c:v>
                </c:pt>
                <c:pt idx="1">
                  <c:v>0.332</c:v>
                </c:pt>
                <c:pt idx="2">
                  <c:v>0.514</c:v>
                </c:pt>
                <c:pt idx="3">
                  <c:v>0.732</c:v>
                </c:pt>
                <c:pt idx="4">
                  <c:v>0.945</c:v>
                </c:pt>
                <c:pt idx="5">
                  <c:v>1.178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330351"/>
        <c:axId val="1775318831"/>
      </c:scatterChart>
      <c:valAx>
        <c:axId val="17753303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浓度</a:t>
                </a:r>
                <a:r>
                  <a:rPr lang="en-US" altLang="zh-CN"/>
                  <a:t>mg/ml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775318831"/>
        <c:crosses val="autoZero"/>
        <c:crossBetween val="midCat"/>
      </c:valAx>
      <c:valAx>
        <c:axId val="17753188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吸光度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775330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f8ea4ab2-3dca-47c2-b091-57e4db1c9820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咖啡碱标曲</a:t>
            </a:r>
            <a:endParaRPr lang="en-US" altLang="zh-CN"/>
          </a:p>
        </c:rich>
      </c:tx>
      <c:layout>
        <c:manualLayout>
          <c:xMode val="edge"/>
          <c:yMode val="edge"/>
          <c:x val="0.460972222222222"/>
          <c:y val="0.018518518518518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tx>
            <c:strRef>
              <c:f>理化成分标准曲线!$J$32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0822443132108486"/>
                  <c:y val="0.3329166666666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理化成分标准曲线!$I$33:$I$39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</c:numCache>
            </c:numRef>
          </c:xVal>
          <c:yVal>
            <c:numRef>
              <c:f>理化成分标准曲线!$J$33:$J$39</c:f>
              <c:numCache>
                <c:formatCode>General</c:formatCode>
                <c:ptCount val="7"/>
                <c:pt idx="0">
                  <c:v>0</c:v>
                </c:pt>
                <c:pt idx="1">
                  <c:v>0.034</c:v>
                </c:pt>
                <c:pt idx="2">
                  <c:v>0.071</c:v>
                </c:pt>
                <c:pt idx="3">
                  <c:v>0.104</c:v>
                </c:pt>
                <c:pt idx="4">
                  <c:v>0.156</c:v>
                </c:pt>
                <c:pt idx="5" c:formatCode="0.000_ ">
                  <c:v>0.2</c:v>
                </c:pt>
                <c:pt idx="6" c:formatCode="0.000_ ">
                  <c:v>0.22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442495"/>
        <c:axId val="999428095"/>
      </c:scatterChart>
      <c:valAx>
        <c:axId val="9994424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含量</a:t>
                </a:r>
                <a:r>
                  <a:rPr lang="en-US" altLang="zh-CN"/>
                  <a:t>/mg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99428095"/>
        <c:crosses val="autoZero"/>
        <c:crossBetween val="midCat"/>
      </c:valAx>
      <c:valAx>
        <c:axId val="9994280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吸光度</a:t>
                </a:r>
                <a:r>
                  <a:rPr lang="en-US" altLang="zh-CN"/>
                  <a:t>/A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99442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da7d68c3-a752-4c9b-8a88-bc94ce7f348c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GABA</a:t>
            </a:r>
            <a:r>
              <a:rPr lang="zh-CN" alt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标准曲线</a:t>
            </a:r>
            <a:endParaRPr lang="en-US" altLang="zh-CN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9150598301197"/>
          <c:y val="0.171134441528142"/>
          <c:w val="0.816849737532808"/>
          <c:h val="0.65665135608049"/>
        </c:manualLayout>
      </c:layout>
      <c:scatterChart>
        <c:scatterStyle val="lineMarker"/>
        <c:varyColors val="0"/>
        <c:ser>
          <c:idx val="0"/>
          <c:order val="0"/>
          <c:tx>
            <c:strRef>
              <c:f>GABA标曲!$D$1</c:f>
              <c:strCache>
                <c:ptCount val="1"/>
                <c:pt idx="0">
                  <c:v>吸光度/A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2557961504812"/>
                  <c:y val="0.3427544473607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GABA标曲!$C$2:$C$7</c:f>
              <c:numCache>
                <c:formatCode>General</c:formatCode>
                <c:ptCount val="6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</c:numCache>
            </c:numRef>
          </c:xVal>
          <c:yVal>
            <c:numRef>
              <c:f>GABA标曲!$D$2:$D$7</c:f>
              <c:numCache>
                <c:formatCode>General</c:formatCode>
                <c:ptCount val="6"/>
                <c:pt idx="0">
                  <c:v>0</c:v>
                </c:pt>
                <c:pt idx="1">
                  <c:v>0.275</c:v>
                </c:pt>
                <c:pt idx="2">
                  <c:v>0.383</c:v>
                </c:pt>
                <c:pt idx="3">
                  <c:v>0.5</c:v>
                </c:pt>
                <c:pt idx="4">
                  <c:v>0.734</c:v>
                </c:pt>
                <c:pt idx="5">
                  <c:v>0.898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767025712"/>
        <c:axId val="767027632"/>
      </c:scatterChart>
      <c:valAx>
        <c:axId val="767025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GABA</a:t>
                </a: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含量</a:t>
                </a: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/mg</a:t>
                </a:r>
                <a:endParaRPr lang="zh-CN" altLang="en-U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67027632"/>
        <c:crosses val="autoZero"/>
        <c:crossBetween val="midCat"/>
      </c:valAx>
      <c:valAx>
        <c:axId val="767027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吸光度值</a:t>
                </a: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/A</a:t>
                </a:r>
                <a:endParaRPr lang="zh-CN" altLang="en-U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>
            <c:manualLayout>
              <c:xMode val="edge"/>
              <c:yMode val="edge"/>
              <c:x val="0.0125911918490504"/>
              <c:y val="0.37065215806357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6702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e3293b60-e116-4bb4-b1cf-ad489106335f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GABA</a:t>
            </a:r>
            <a:r>
              <a:rPr lang="zh-CN" alt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标准曲线</a:t>
            </a:r>
            <a:endParaRPr lang="en-US" altLang="zh-CN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layout>
        <c:manualLayout>
          <c:xMode val="edge"/>
          <c:yMode val="edge"/>
          <c:x val="0.412472222222222"/>
          <c:y val="0.023148148148148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9858705161855"/>
          <c:y val="0.171134441528142"/>
          <c:w val="0.805433070866142"/>
          <c:h val="0.607808763487897"/>
        </c:manualLayout>
      </c:layout>
      <c:scatterChart>
        <c:scatterStyle val="lineMarker"/>
        <c:varyColors val="0"/>
        <c:ser>
          <c:idx val="0"/>
          <c:order val="0"/>
          <c:tx>
            <c:strRef>
              <c:f>GABA标曲!$D$19</c:f>
              <c:strCache>
                <c:ptCount val="1"/>
                <c:pt idx="0">
                  <c:v>吸光度/A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0839888451443569"/>
                  <c:y val="0.3381248177311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GABA标曲!$C$20:$C$25</c:f>
              <c:numCache>
                <c:formatCode>General</c:formatCode>
                <c:ptCount val="6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</c:numCache>
            </c:numRef>
          </c:xVal>
          <c:yVal>
            <c:numRef>
              <c:f>GABA标曲!$D$20:$D$25</c:f>
              <c:numCache>
                <c:formatCode>General</c:formatCode>
                <c:ptCount val="6"/>
                <c:pt idx="0">
                  <c:v>0</c:v>
                </c:pt>
                <c:pt idx="1">
                  <c:v>0.115</c:v>
                </c:pt>
                <c:pt idx="2">
                  <c:v>0.173</c:v>
                </c:pt>
                <c:pt idx="3">
                  <c:v>0.212</c:v>
                </c:pt>
                <c:pt idx="4">
                  <c:v>0.266</c:v>
                </c:pt>
                <c:pt idx="5">
                  <c:v>0.312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654412896"/>
        <c:axId val="1654417216"/>
      </c:scatterChart>
      <c:valAx>
        <c:axId val="1654412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GABA</a:t>
                </a: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含量</a:t>
                </a: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/mg</a:t>
                </a:r>
                <a:endParaRPr lang="zh-CN" altLang="en-U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54417216"/>
        <c:crosses val="autoZero"/>
        <c:crossBetween val="midCat"/>
      </c:valAx>
      <c:valAx>
        <c:axId val="16544172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吸光度值</a:t>
                </a: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/A</a:t>
                </a:r>
                <a:endParaRPr lang="zh-CN" altLang="en-U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54412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b6dfa7c4-3c83-4dd9-af70-0032ecbf57f0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GABA</a:t>
            </a:r>
            <a:r>
              <a:rPr lang="zh-CN" alt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标准曲线</a:t>
            </a:r>
            <a:endParaRPr lang="en-US" altLang="zh-CN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486053427605113"/>
          <c:y val="0.176654980246368"/>
          <c:w val="0.87746202411153"/>
          <c:h val="0.698442163642965"/>
        </c:manualLayout>
      </c:layout>
      <c:scatterChart>
        <c:scatterStyle val="lineMarker"/>
        <c:varyColors val="0"/>
        <c:ser>
          <c:idx val="0"/>
          <c:order val="0"/>
          <c:tx>
            <c:strRef>
              <c:f>GABA标曲!$D$31</c:f>
              <c:strCache>
                <c:ptCount val="1"/>
                <c:pt idx="0">
                  <c:v>吸光度/A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93125119531613"/>
                  <c:y val="-0.4934424081760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"/>
            <c:backward val="1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GABA标曲!$C$32:$C$37</c:f>
              <c:numCache>
                <c:formatCode>General</c:formatCode>
                <c:ptCount val="6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</c:numCache>
            </c:numRef>
          </c:xVal>
          <c:yVal>
            <c:numRef>
              <c:f>GABA标曲!$D$32:$D$37</c:f>
              <c:numCache>
                <c:formatCode>General</c:formatCode>
                <c:ptCount val="6"/>
                <c:pt idx="0">
                  <c:v>0</c:v>
                </c:pt>
                <c:pt idx="1">
                  <c:v>0.112</c:v>
                </c:pt>
                <c:pt idx="2">
                  <c:v>0.181</c:v>
                </c:pt>
                <c:pt idx="3">
                  <c:v>0.257</c:v>
                </c:pt>
                <c:pt idx="4">
                  <c:v>0.335</c:v>
                </c:pt>
                <c:pt idx="5">
                  <c:v>0.386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77234336"/>
        <c:axId val="477230496"/>
      </c:scatterChart>
      <c:valAx>
        <c:axId val="477234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GABA</a:t>
                </a: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含量</a:t>
                </a: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/mg</a:t>
                </a:r>
                <a:endParaRPr lang="zh-CN" altLang="en-U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77230496"/>
        <c:crosses val="autoZero"/>
        <c:crossBetween val="midCat"/>
      </c:valAx>
      <c:valAx>
        <c:axId val="477230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吸光度值</a:t>
                </a: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/A</a:t>
                </a:r>
                <a:endParaRPr lang="zh-CN" altLang="en-U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77234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726bfd0e-9642-4b38-849d-886e3080ed4b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525"/>
          <c:y val="0.0277777777777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GABA标曲!$L$1</c:f>
              <c:strCache>
                <c:ptCount val="1"/>
                <c:pt idx="0">
                  <c:v>吸光度/A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1099956255468"/>
                  <c:y val="0.3751618547681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GABA标曲!$K$2:$K$7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GABA标曲!$L$2:$L$7</c:f>
              <c:numCache>
                <c:formatCode>General</c:formatCode>
                <c:ptCount val="6"/>
                <c:pt idx="0">
                  <c:v>0</c:v>
                </c:pt>
                <c:pt idx="1">
                  <c:v>0.275</c:v>
                </c:pt>
                <c:pt idx="2">
                  <c:v>0.383</c:v>
                </c:pt>
                <c:pt idx="3">
                  <c:v>0.5</c:v>
                </c:pt>
                <c:pt idx="4">
                  <c:v>0.734</c:v>
                </c:pt>
                <c:pt idx="5">
                  <c:v>0.898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940227632"/>
        <c:axId val="1940229072"/>
      </c:scatterChart>
      <c:valAx>
        <c:axId val="1940227632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40229072"/>
        <c:crosses val="autoZero"/>
        <c:crossBetween val="midCat"/>
      </c:valAx>
      <c:valAx>
        <c:axId val="1940229072"/>
        <c:scaling>
          <c:orientation val="minMax"/>
        </c:scaling>
        <c:delete val="0"/>
        <c:axPos val="l"/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4022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53d93d26-e425-4ba6-be2d-c8e4884c74c6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冲泡方法对比</a:t>
            </a:r>
            <a:endParaRPr lang="zh-CN" altLang="en-US"/>
          </a:p>
        </c:rich>
      </c:tx>
      <c:layout>
        <c:manualLayout>
          <c:xMode val="edge"/>
          <c:yMode val="edge"/>
          <c:x val="0.406234335421289"/>
          <c:y val="0.077807250221043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82474328425674"/>
          <c:y val="0.258203109226731"/>
          <c:w val="0.405040619969554"/>
          <c:h val="0.668263191239026"/>
        </c:manualLayout>
      </c:layout>
      <c:radarChart>
        <c:radarStyle val="marker"/>
        <c:varyColors val="0"/>
        <c:ser>
          <c:idx val="0"/>
          <c:order val="0"/>
          <c:tx>
            <c:strRef>
              <c:f>电子舌!$B$6</c:f>
              <c:strCache>
                <c:ptCount val="1"/>
                <c:pt idx="0">
                  <c:v>80---1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电子舌!$C$5:$I$5</c:f>
              <c:strCache>
                <c:ptCount val="7"/>
                <c:pt idx="0">
                  <c:v>苦味</c:v>
                </c:pt>
                <c:pt idx="1">
                  <c:v>涩味</c:v>
                </c:pt>
                <c:pt idx="2">
                  <c:v>苦味回味</c:v>
                </c:pt>
                <c:pt idx="3">
                  <c:v>涩味回味</c:v>
                </c:pt>
                <c:pt idx="4">
                  <c:v>鲜味</c:v>
                </c:pt>
                <c:pt idx="5">
                  <c:v>丰富性</c:v>
                </c:pt>
                <c:pt idx="6">
                  <c:v>咸味</c:v>
                </c:pt>
              </c:strCache>
            </c:strRef>
          </c:cat>
          <c:val>
            <c:numRef>
              <c:f>电子舌!$C$6:$I$6</c:f>
              <c:numCache>
                <c:formatCode>General</c:formatCode>
                <c:ptCount val="7"/>
                <c:pt idx="0">
                  <c:v>6.96</c:v>
                </c:pt>
                <c:pt idx="1">
                  <c:v>-2.25</c:v>
                </c:pt>
                <c:pt idx="2">
                  <c:v>-0.27</c:v>
                </c:pt>
                <c:pt idx="3">
                  <c:v>2.82</c:v>
                </c:pt>
                <c:pt idx="4">
                  <c:v>13.57</c:v>
                </c:pt>
                <c:pt idx="5">
                  <c:v>3.62</c:v>
                </c:pt>
                <c:pt idx="6">
                  <c:v>20.11</c:v>
                </c:pt>
              </c:numCache>
            </c:numRef>
          </c:val>
        </c:ser>
        <c:ser>
          <c:idx val="1"/>
          <c:order val="1"/>
          <c:tx>
            <c:strRef>
              <c:f>电子舌!$B$7</c:f>
              <c:strCache>
                <c:ptCount val="1"/>
                <c:pt idx="0">
                  <c:v>80---2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电子舌!$C$5:$I$5</c:f>
              <c:strCache>
                <c:ptCount val="7"/>
                <c:pt idx="0">
                  <c:v>苦味</c:v>
                </c:pt>
                <c:pt idx="1">
                  <c:v>涩味</c:v>
                </c:pt>
                <c:pt idx="2">
                  <c:v>苦味回味</c:v>
                </c:pt>
                <c:pt idx="3">
                  <c:v>涩味回味</c:v>
                </c:pt>
                <c:pt idx="4">
                  <c:v>鲜味</c:v>
                </c:pt>
                <c:pt idx="5">
                  <c:v>丰富性</c:v>
                </c:pt>
                <c:pt idx="6">
                  <c:v>咸味</c:v>
                </c:pt>
              </c:strCache>
            </c:strRef>
          </c:cat>
          <c:val>
            <c:numRef>
              <c:f>电子舌!$C$7:$I$7</c:f>
              <c:numCache>
                <c:formatCode>General</c:formatCode>
                <c:ptCount val="7"/>
                <c:pt idx="0">
                  <c:v>3.69</c:v>
                </c:pt>
                <c:pt idx="1">
                  <c:v>-8.07</c:v>
                </c:pt>
                <c:pt idx="2">
                  <c:v>-0.22</c:v>
                </c:pt>
                <c:pt idx="3">
                  <c:v>3.49</c:v>
                </c:pt>
                <c:pt idx="4">
                  <c:v>16.77</c:v>
                </c:pt>
                <c:pt idx="5">
                  <c:v>6.85</c:v>
                </c:pt>
                <c:pt idx="6">
                  <c:v>17.08</c:v>
                </c:pt>
              </c:numCache>
            </c:numRef>
          </c:val>
        </c:ser>
        <c:ser>
          <c:idx val="2"/>
          <c:order val="2"/>
          <c:tx>
            <c:strRef>
              <c:f>电子舌!$B$8</c:f>
              <c:strCache>
                <c:ptCount val="1"/>
                <c:pt idx="0">
                  <c:v>80---3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cat>
            <c:strRef>
              <c:f>电子舌!$C$5:$I$5</c:f>
              <c:strCache>
                <c:ptCount val="7"/>
                <c:pt idx="0">
                  <c:v>苦味</c:v>
                </c:pt>
                <c:pt idx="1">
                  <c:v>涩味</c:v>
                </c:pt>
                <c:pt idx="2">
                  <c:v>苦味回味</c:v>
                </c:pt>
                <c:pt idx="3">
                  <c:v>涩味回味</c:v>
                </c:pt>
                <c:pt idx="4">
                  <c:v>鲜味</c:v>
                </c:pt>
                <c:pt idx="5">
                  <c:v>丰富性</c:v>
                </c:pt>
                <c:pt idx="6">
                  <c:v>咸味</c:v>
                </c:pt>
              </c:strCache>
            </c:strRef>
          </c:cat>
          <c:val>
            <c:numRef>
              <c:f>电子舌!$C$8:$I$8</c:f>
              <c:numCache>
                <c:formatCode>General</c:formatCode>
                <c:ptCount val="7"/>
                <c:pt idx="0">
                  <c:v>1.55</c:v>
                </c:pt>
                <c:pt idx="1">
                  <c:v>-12.37</c:v>
                </c:pt>
                <c:pt idx="2">
                  <c:v>-0.2</c:v>
                </c:pt>
                <c:pt idx="3">
                  <c:v>3.9</c:v>
                </c:pt>
                <c:pt idx="4">
                  <c:v>19.99</c:v>
                </c:pt>
                <c:pt idx="5">
                  <c:v>10.33</c:v>
                </c:pt>
                <c:pt idx="6">
                  <c:v>18.09</c:v>
                </c:pt>
              </c:numCache>
            </c:numRef>
          </c:val>
        </c:ser>
        <c:ser>
          <c:idx val="3"/>
          <c:order val="3"/>
          <c:tx>
            <c:strRef>
              <c:f>电子舌!$B$9</c:f>
              <c:strCache>
                <c:ptCount val="1"/>
                <c:pt idx="0">
                  <c:v>90---1</c:v>
                </c:pt>
              </c:strCache>
            </c:strRef>
          </c:tx>
          <c:spPr>
            <a:ln w="19050" cap="rnd" cmpd="sng">
              <a:solidFill>
                <a:schemeClr val="accent4"/>
              </a:solidFill>
              <a:bevel/>
              <a:tailEnd w="lg" len="lg"/>
            </a:ln>
            <a:effectLst/>
          </c:spPr>
          <c:marker>
            <c:symbol val="triang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elete val="1"/>
          </c:dLbls>
          <c:cat>
            <c:strRef>
              <c:f>电子舌!$C$5:$I$5</c:f>
              <c:strCache>
                <c:ptCount val="7"/>
                <c:pt idx="0">
                  <c:v>苦味</c:v>
                </c:pt>
                <c:pt idx="1">
                  <c:v>涩味</c:v>
                </c:pt>
                <c:pt idx="2">
                  <c:v>苦味回味</c:v>
                </c:pt>
                <c:pt idx="3">
                  <c:v>涩味回味</c:v>
                </c:pt>
                <c:pt idx="4">
                  <c:v>鲜味</c:v>
                </c:pt>
                <c:pt idx="5">
                  <c:v>丰富性</c:v>
                </c:pt>
                <c:pt idx="6">
                  <c:v>咸味</c:v>
                </c:pt>
              </c:strCache>
            </c:strRef>
          </c:cat>
          <c:val>
            <c:numRef>
              <c:f>电子舌!$C$9:$I$9</c:f>
              <c:numCache>
                <c:formatCode>General</c:formatCode>
                <c:ptCount val="7"/>
                <c:pt idx="0">
                  <c:v>7.29</c:v>
                </c:pt>
                <c:pt idx="1">
                  <c:v>1.04</c:v>
                </c:pt>
                <c:pt idx="2">
                  <c:v>-0.33</c:v>
                </c:pt>
                <c:pt idx="3">
                  <c:v>1.92</c:v>
                </c:pt>
                <c:pt idx="4">
                  <c:v>12.12</c:v>
                </c:pt>
                <c:pt idx="5">
                  <c:v>2.35</c:v>
                </c:pt>
                <c:pt idx="6">
                  <c:v>21.01</c:v>
                </c:pt>
              </c:numCache>
            </c:numRef>
          </c:val>
        </c:ser>
        <c:ser>
          <c:idx val="4"/>
          <c:order val="4"/>
          <c:tx>
            <c:strRef>
              <c:f>电子舌!$B$10</c:f>
              <c:strCache>
                <c:ptCount val="1"/>
                <c:pt idx="0">
                  <c:v>90---2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elete val="1"/>
          </c:dLbls>
          <c:cat>
            <c:strRef>
              <c:f>电子舌!$C$5:$I$5</c:f>
              <c:strCache>
                <c:ptCount val="7"/>
                <c:pt idx="0">
                  <c:v>苦味</c:v>
                </c:pt>
                <c:pt idx="1">
                  <c:v>涩味</c:v>
                </c:pt>
                <c:pt idx="2">
                  <c:v>苦味回味</c:v>
                </c:pt>
                <c:pt idx="3">
                  <c:v>涩味回味</c:v>
                </c:pt>
                <c:pt idx="4">
                  <c:v>鲜味</c:v>
                </c:pt>
                <c:pt idx="5">
                  <c:v>丰富性</c:v>
                </c:pt>
                <c:pt idx="6">
                  <c:v>咸味</c:v>
                </c:pt>
              </c:strCache>
            </c:strRef>
          </c:cat>
          <c:val>
            <c:numRef>
              <c:f>电子舌!$C$10:$I$10</c:f>
              <c:numCache>
                <c:formatCode>General</c:formatCode>
                <c:ptCount val="7"/>
                <c:pt idx="0">
                  <c:v>3.56</c:v>
                </c:pt>
                <c:pt idx="1">
                  <c:v>-8.37</c:v>
                </c:pt>
                <c:pt idx="2">
                  <c:v>-0.2</c:v>
                </c:pt>
                <c:pt idx="3">
                  <c:v>3.21</c:v>
                </c:pt>
                <c:pt idx="4">
                  <c:v>16.64</c:v>
                </c:pt>
                <c:pt idx="5">
                  <c:v>6.62</c:v>
                </c:pt>
                <c:pt idx="6">
                  <c:v>19.64</c:v>
                </c:pt>
              </c:numCache>
            </c:numRef>
          </c:val>
        </c:ser>
        <c:ser>
          <c:idx val="5"/>
          <c:order val="5"/>
          <c:tx>
            <c:strRef>
              <c:f>电子舌!$B$11</c:f>
              <c:strCache>
                <c:ptCount val="1"/>
                <c:pt idx="0">
                  <c:v>90---3</c:v>
                </c:pt>
              </c:strCache>
            </c:strRef>
          </c:tx>
          <c:spPr>
            <a:ln w="1587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cat>
            <c:strRef>
              <c:f>电子舌!$C$5:$I$5</c:f>
              <c:strCache>
                <c:ptCount val="7"/>
                <c:pt idx="0">
                  <c:v>苦味</c:v>
                </c:pt>
                <c:pt idx="1">
                  <c:v>涩味</c:v>
                </c:pt>
                <c:pt idx="2">
                  <c:v>苦味回味</c:v>
                </c:pt>
                <c:pt idx="3">
                  <c:v>涩味回味</c:v>
                </c:pt>
                <c:pt idx="4">
                  <c:v>鲜味</c:v>
                </c:pt>
                <c:pt idx="5">
                  <c:v>丰富性</c:v>
                </c:pt>
                <c:pt idx="6">
                  <c:v>咸味</c:v>
                </c:pt>
              </c:strCache>
            </c:strRef>
          </c:cat>
          <c:val>
            <c:numRef>
              <c:f>电子舌!$C$11:$I$11</c:f>
              <c:numCache>
                <c:formatCode>General</c:formatCode>
                <c:ptCount val="7"/>
                <c:pt idx="0">
                  <c:v>2.32</c:v>
                </c:pt>
                <c:pt idx="1">
                  <c:v>-10.72</c:v>
                </c:pt>
                <c:pt idx="2">
                  <c:v>-0.1</c:v>
                </c:pt>
                <c:pt idx="3">
                  <c:v>3.31</c:v>
                </c:pt>
                <c:pt idx="4">
                  <c:v>18.26</c:v>
                </c:pt>
                <c:pt idx="5">
                  <c:v>8.38</c:v>
                </c:pt>
                <c:pt idx="6">
                  <c:v>20.34</c:v>
                </c:pt>
              </c:numCache>
            </c:numRef>
          </c:val>
        </c:ser>
        <c:ser>
          <c:idx val="6"/>
          <c:order val="6"/>
          <c:tx>
            <c:strRef>
              <c:f>电子舌!$B$12</c:f>
              <c:strCache>
                <c:ptCount val="1"/>
                <c:pt idx="0">
                  <c:v>100---1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cat>
            <c:strRef>
              <c:f>电子舌!$C$5:$I$5</c:f>
              <c:strCache>
                <c:ptCount val="7"/>
                <c:pt idx="0">
                  <c:v>苦味</c:v>
                </c:pt>
                <c:pt idx="1">
                  <c:v>涩味</c:v>
                </c:pt>
                <c:pt idx="2">
                  <c:v>苦味回味</c:v>
                </c:pt>
                <c:pt idx="3">
                  <c:v>涩味回味</c:v>
                </c:pt>
                <c:pt idx="4">
                  <c:v>鲜味</c:v>
                </c:pt>
                <c:pt idx="5">
                  <c:v>丰富性</c:v>
                </c:pt>
                <c:pt idx="6">
                  <c:v>咸味</c:v>
                </c:pt>
              </c:strCache>
            </c:strRef>
          </c:cat>
          <c:val>
            <c:numRef>
              <c:f>电子舌!$C$12:$I$12</c:f>
              <c:numCache>
                <c:formatCode>General</c:formatCode>
                <c:ptCount val="7"/>
                <c:pt idx="0">
                  <c:v>6.73</c:v>
                </c:pt>
                <c:pt idx="1">
                  <c:v>-2.17</c:v>
                </c:pt>
                <c:pt idx="2">
                  <c:v>-0.2</c:v>
                </c:pt>
                <c:pt idx="3">
                  <c:v>2.16</c:v>
                </c:pt>
                <c:pt idx="4">
                  <c:v>12.83</c:v>
                </c:pt>
                <c:pt idx="5">
                  <c:v>3.32</c:v>
                </c:pt>
                <c:pt idx="6">
                  <c:v>19.76</c:v>
                </c:pt>
              </c:numCache>
            </c:numRef>
          </c:val>
        </c:ser>
        <c:ser>
          <c:idx val="7"/>
          <c:order val="7"/>
          <c:tx>
            <c:strRef>
              <c:f>电子舌!$B$13</c:f>
              <c:strCache>
                <c:ptCount val="1"/>
                <c:pt idx="0">
                  <c:v>100---2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cat>
            <c:strRef>
              <c:f>电子舌!$C$5:$I$5</c:f>
              <c:strCache>
                <c:ptCount val="7"/>
                <c:pt idx="0">
                  <c:v>苦味</c:v>
                </c:pt>
                <c:pt idx="1">
                  <c:v>涩味</c:v>
                </c:pt>
                <c:pt idx="2">
                  <c:v>苦味回味</c:v>
                </c:pt>
                <c:pt idx="3">
                  <c:v>涩味回味</c:v>
                </c:pt>
                <c:pt idx="4">
                  <c:v>鲜味</c:v>
                </c:pt>
                <c:pt idx="5">
                  <c:v>丰富性</c:v>
                </c:pt>
                <c:pt idx="6">
                  <c:v>咸味</c:v>
                </c:pt>
              </c:strCache>
            </c:strRef>
          </c:cat>
          <c:val>
            <c:numRef>
              <c:f>电子舌!$C$13:$I$13</c:f>
              <c:numCache>
                <c:formatCode>General</c:formatCode>
                <c:ptCount val="7"/>
                <c:pt idx="0">
                  <c:v>3.2</c:v>
                </c:pt>
                <c:pt idx="1">
                  <c:v>-9.14</c:v>
                </c:pt>
                <c:pt idx="2">
                  <c:v>-0.13</c:v>
                </c:pt>
                <c:pt idx="3">
                  <c:v>3.05</c:v>
                </c:pt>
                <c:pt idx="4">
                  <c:v>17.09</c:v>
                </c:pt>
                <c:pt idx="5">
                  <c:v>7.38</c:v>
                </c:pt>
                <c:pt idx="6">
                  <c:v>18.59</c:v>
                </c:pt>
              </c:numCache>
            </c:numRef>
          </c:val>
        </c:ser>
        <c:ser>
          <c:idx val="8"/>
          <c:order val="8"/>
          <c:tx>
            <c:strRef>
              <c:f>电子舌!$B$14</c:f>
              <c:strCache>
                <c:ptCount val="1"/>
                <c:pt idx="0">
                  <c:v>100---3</c:v>
                </c:pt>
              </c:strCache>
            </c:strRef>
          </c:tx>
          <c:spPr>
            <a:ln w="15875" cap="rnd">
              <a:solidFill>
                <a:schemeClr val="accent3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cat>
            <c:strRef>
              <c:f>电子舌!$C$5:$I$5</c:f>
              <c:strCache>
                <c:ptCount val="7"/>
                <c:pt idx="0">
                  <c:v>苦味</c:v>
                </c:pt>
                <c:pt idx="1">
                  <c:v>涩味</c:v>
                </c:pt>
                <c:pt idx="2">
                  <c:v>苦味回味</c:v>
                </c:pt>
                <c:pt idx="3">
                  <c:v>涩味回味</c:v>
                </c:pt>
                <c:pt idx="4">
                  <c:v>鲜味</c:v>
                </c:pt>
                <c:pt idx="5">
                  <c:v>丰富性</c:v>
                </c:pt>
                <c:pt idx="6">
                  <c:v>咸味</c:v>
                </c:pt>
              </c:strCache>
            </c:strRef>
          </c:cat>
          <c:val>
            <c:numRef>
              <c:f>电子舌!$C$14:$I$14</c:f>
              <c:numCache>
                <c:formatCode>General</c:formatCode>
                <c:ptCount val="7"/>
                <c:pt idx="0">
                  <c:v>0.86</c:v>
                </c:pt>
                <c:pt idx="1">
                  <c:v>-13.95</c:v>
                </c:pt>
                <c:pt idx="2">
                  <c:v>-0.02</c:v>
                </c:pt>
                <c:pt idx="3">
                  <c:v>3.42</c:v>
                </c:pt>
                <c:pt idx="4">
                  <c:v>21.07</c:v>
                </c:pt>
                <c:pt idx="5">
                  <c:v>12.4</c:v>
                </c:pt>
                <c:pt idx="6">
                  <c:v>19.48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650304"/>
        <c:axId val="377643584"/>
      </c:radarChart>
      <c:catAx>
        <c:axId val="37765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77643584"/>
        <c:crosses val="autoZero"/>
        <c:auto val="1"/>
        <c:lblAlgn val="ctr"/>
        <c:lblOffset val="100"/>
        <c:noMultiLvlLbl val="0"/>
      </c:catAx>
      <c:valAx>
        <c:axId val="37764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7765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836034951990103"/>
          <c:y val="0.0812202983910831"/>
          <c:w val="0.125935083550965"/>
          <c:h val="0.5442090826179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093f6bdd-5f05-4ec4-8d09-d51110e97338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7.xml"/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0</xdr:colOff>
      <xdr:row>47</xdr:row>
      <xdr:rowOff>92075</xdr:rowOff>
    </xdr:from>
    <xdr:to>
      <xdr:col>13</xdr:col>
      <xdr:colOff>323850</xdr:colOff>
      <xdr:row>58</xdr:row>
      <xdr:rowOff>133350</xdr:rowOff>
    </xdr:to>
    <xdr:graphicFrame>
      <xdr:nvGraphicFramePr>
        <xdr:cNvPr id="4" name="图表 3"/>
        <xdr:cNvGraphicFramePr/>
      </xdr:nvGraphicFramePr>
      <xdr:xfrm>
        <a:off x="7137400" y="8597900"/>
        <a:ext cx="3987800" cy="2032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72</xdr:row>
      <xdr:rowOff>3175</xdr:rowOff>
    </xdr:from>
    <xdr:to>
      <xdr:col>9</xdr:col>
      <xdr:colOff>565150</xdr:colOff>
      <xdr:row>82</xdr:row>
      <xdr:rowOff>95250</xdr:rowOff>
    </xdr:to>
    <xdr:graphicFrame>
      <xdr:nvGraphicFramePr>
        <xdr:cNvPr id="5" name="图表 4"/>
        <xdr:cNvGraphicFramePr/>
      </xdr:nvGraphicFramePr>
      <xdr:xfrm>
        <a:off x="4324350" y="13033375"/>
        <a:ext cx="3378200" cy="1901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190500</xdr:colOff>
      <xdr:row>27</xdr:row>
      <xdr:rowOff>15875</xdr:rowOff>
    </xdr:from>
    <xdr:to>
      <xdr:col>16</xdr:col>
      <xdr:colOff>88900</xdr:colOff>
      <xdr:row>40</xdr:row>
      <xdr:rowOff>25400</xdr:rowOff>
    </xdr:to>
    <xdr:graphicFrame>
      <xdr:nvGraphicFramePr>
        <xdr:cNvPr id="7" name="图表 6"/>
        <xdr:cNvGraphicFramePr/>
      </xdr:nvGraphicFramePr>
      <xdr:xfrm>
        <a:off x="9004300" y="4902200"/>
        <a:ext cx="4171950" cy="2362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1168400</xdr:colOff>
      <xdr:row>0</xdr:row>
      <xdr:rowOff>0</xdr:rowOff>
    </xdr:from>
    <xdr:to>
      <xdr:col>9</xdr:col>
      <xdr:colOff>450850</xdr:colOff>
      <xdr:row>15</xdr:row>
      <xdr:rowOff>76200</xdr:rowOff>
    </xdr:to>
    <xdr:graphicFrame>
      <xdr:nvGraphicFramePr>
        <xdr:cNvPr id="5" name="图表 4"/>
        <xdr:cNvGraphicFramePr/>
      </xdr:nvGraphicFramePr>
      <xdr:xfrm>
        <a:off x="4381500" y="0"/>
        <a:ext cx="4838700" cy="2790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1092200</xdr:colOff>
      <xdr:row>15</xdr:row>
      <xdr:rowOff>3175</xdr:rowOff>
    </xdr:from>
    <xdr:to>
      <xdr:col>9</xdr:col>
      <xdr:colOff>107950</xdr:colOff>
      <xdr:row>30</xdr:row>
      <xdr:rowOff>79375</xdr:rowOff>
    </xdr:to>
    <xdr:graphicFrame>
      <xdr:nvGraphicFramePr>
        <xdr:cNvPr id="2" name="图表 1"/>
        <xdr:cNvGraphicFramePr/>
      </xdr:nvGraphicFramePr>
      <xdr:xfrm>
        <a:off x="4305300" y="2717800"/>
        <a:ext cx="4572000" cy="2790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1092200</xdr:colOff>
      <xdr:row>30</xdr:row>
      <xdr:rowOff>136525</xdr:rowOff>
    </xdr:from>
    <xdr:to>
      <xdr:col>9</xdr:col>
      <xdr:colOff>107950</xdr:colOff>
      <xdr:row>46</xdr:row>
      <xdr:rowOff>34925</xdr:rowOff>
    </xdr:to>
    <xdr:graphicFrame>
      <xdr:nvGraphicFramePr>
        <xdr:cNvPr id="3" name="图表 2"/>
        <xdr:cNvGraphicFramePr/>
      </xdr:nvGraphicFramePr>
      <xdr:xfrm>
        <a:off x="4305300" y="5565775"/>
        <a:ext cx="4572000" cy="2794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190500</xdr:colOff>
      <xdr:row>0</xdr:row>
      <xdr:rowOff>22225</xdr:rowOff>
    </xdr:from>
    <xdr:to>
      <xdr:col>18</xdr:col>
      <xdr:colOff>647700</xdr:colOff>
      <xdr:row>15</xdr:row>
      <xdr:rowOff>98425</xdr:rowOff>
    </xdr:to>
    <xdr:graphicFrame>
      <xdr:nvGraphicFramePr>
        <xdr:cNvPr id="6" name="图表 5"/>
        <xdr:cNvGraphicFramePr/>
      </xdr:nvGraphicFramePr>
      <xdr:xfrm>
        <a:off x="11017250" y="22225"/>
        <a:ext cx="5010150" cy="2790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17780</xdr:colOff>
      <xdr:row>0</xdr:row>
      <xdr:rowOff>635</xdr:rowOff>
    </xdr:from>
    <xdr:to>
      <xdr:col>18</xdr:col>
      <xdr:colOff>195579</xdr:colOff>
      <xdr:row>20</xdr:row>
      <xdr:rowOff>19685</xdr:rowOff>
    </xdr:to>
    <xdr:graphicFrame>
      <xdr:nvGraphicFramePr>
        <xdr:cNvPr id="5" name="图表 4"/>
        <xdr:cNvGraphicFramePr/>
      </xdr:nvGraphicFramePr>
      <xdr:xfrm>
        <a:off x="7266940" y="635"/>
        <a:ext cx="6292215" cy="36861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635</xdr:colOff>
      <xdr:row>1</xdr:row>
      <xdr:rowOff>159385</xdr:rowOff>
    </xdr:from>
    <xdr:to>
      <xdr:col>9</xdr:col>
      <xdr:colOff>66675</xdr:colOff>
      <xdr:row>21</xdr:row>
      <xdr:rowOff>131445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35" y="340360"/>
          <a:ext cx="7730490" cy="52806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37"/>
  <sheetViews>
    <sheetView zoomScale="85" zoomScaleNormal="85" workbookViewId="0">
      <selection activeCell="A18" sqref="$A18:$XFD24"/>
    </sheetView>
  </sheetViews>
  <sheetFormatPr defaultColWidth="9" defaultRowHeight="14.25"/>
  <cols>
    <col min="2" max="2" width="9.10833333333333" customWidth="1"/>
    <col min="4" max="4" width="12.625"/>
    <col min="9" max="9" width="12.625"/>
  </cols>
  <sheetData>
    <row r="2" spans="1:2">
      <c r="A2" s="86" t="s">
        <v>0</v>
      </c>
      <c r="B2" s="75"/>
    </row>
    <row r="3" spans="1:13">
      <c r="A3" s="1">
        <v>1</v>
      </c>
      <c r="B3" s="30" t="s">
        <v>1</v>
      </c>
      <c r="C3" s="30" t="s">
        <v>2</v>
      </c>
      <c r="D3" t="s">
        <v>3</v>
      </c>
      <c r="F3" s="1">
        <v>2</v>
      </c>
      <c r="G3" s="30" t="s">
        <v>1</v>
      </c>
      <c r="H3" s="30" t="s">
        <v>2</v>
      </c>
      <c r="I3" t="s">
        <v>3</v>
      </c>
      <c r="J3" s="1">
        <v>3</v>
      </c>
      <c r="K3" s="30" t="s">
        <v>1</v>
      </c>
      <c r="L3" s="30" t="s">
        <v>2</v>
      </c>
      <c r="M3" t="s">
        <v>3</v>
      </c>
    </row>
    <row r="4" spans="1:13">
      <c r="A4" t="s">
        <v>4</v>
      </c>
      <c r="B4">
        <v>0.176</v>
      </c>
      <c r="C4" s="41">
        <f>(B4-0.0208)/1.5286</f>
        <v>0.101530812508177</v>
      </c>
      <c r="D4">
        <f>C4*10</f>
        <v>1.01530812508177</v>
      </c>
      <c r="F4" t="s">
        <v>4</v>
      </c>
      <c r="G4">
        <v>0.178</v>
      </c>
      <c r="H4" s="41">
        <f>(G4-0.0208)/1.5286</f>
        <v>0.102839199267303</v>
      </c>
      <c r="I4">
        <f>H4*10</f>
        <v>1.02839199267303</v>
      </c>
      <c r="J4" t="s">
        <v>4</v>
      </c>
      <c r="K4">
        <v>0.174</v>
      </c>
      <c r="L4" s="41">
        <f>(K4-0.0208)/1.5286</f>
        <v>0.100222425749051</v>
      </c>
      <c r="M4" s="41">
        <f>L4*10</f>
        <v>1.00222425749051</v>
      </c>
    </row>
    <row r="5" spans="1:13">
      <c r="A5" t="s">
        <v>5</v>
      </c>
      <c r="B5">
        <v>0.172</v>
      </c>
      <c r="C5" s="41">
        <f>(B5-0.0208)/1.5286</f>
        <v>0.0989140389899254</v>
      </c>
      <c r="D5">
        <f t="shared" ref="D5:D15" si="0">C5*10</f>
        <v>0.989140389899254</v>
      </c>
      <c r="F5" t="s">
        <v>5</v>
      </c>
      <c r="G5">
        <v>0.169</v>
      </c>
      <c r="H5" s="41">
        <f>(G5-0.0208)/1.5286</f>
        <v>0.0969514588512364</v>
      </c>
      <c r="I5">
        <f t="shared" ref="I5:I15" si="1">H5*10</f>
        <v>0.969514588512364</v>
      </c>
      <c r="J5" t="s">
        <v>5</v>
      </c>
      <c r="K5">
        <v>0.171</v>
      </c>
      <c r="L5" s="41">
        <f>(K5-0.0208)/1.5286</f>
        <v>0.0982598456103624</v>
      </c>
      <c r="M5" s="41">
        <f t="shared" ref="M5:M15" si="2">L5*10</f>
        <v>0.982598456103624</v>
      </c>
    </row>
    <row r="6" spans="1:13">
      <c r="A6" t="s">
        <v>6</v>
      </c>
      <c r="B6">
        <v>0.175</v>
      </c>
      <c r="C6" s="41">
        <f>(B6-0.0208)/1.5286</f>
        <v>0.100876619128614</v>
      </c>
      <c r="D6">
        <f t="shared" si="0"/>
        <v>1.00876619128614</v>
      </c>
      <c r="F6" t="s">
        <v>6</v>
      </c>
      <c r="G6">
        <v>0.173</v>
      </c>
      <c r="H6" s="41">
        <f>(G6-0.0208)/1.5286</f>
        <v>0.0995682323694884</v>
      </c>
      <c r="I6">
        <f t="shared" si="1"/>
        <v>0.995682323694884</v>
      </c>
      <c r="J6" t="s">
        <v>6</v>
      </c>
      <c r="K6">
        <v>0.173</v>
      </c>
      <c r="L6" s="41">
        <f>(K6-0.0208)/1.5286</f>
        <v>0.0995682323694884</v>
      </c>
      <c r="M6" s="41">
        <f t="shared" si="2"/>
        <v>0.995682323694884</v>
      </c>
    </row>
    <row r="7" spans="1:13">
      <c r="A7" s="30" t="s">
        <v>7</v>
      </c>
      <c r="B7">
        <v>0.131</v>
      </c>
      <c r="C7" s="41">
        <f>(B7-0.0208)/1.5286</f>
        <v>0.0720921104278425</v>
      </c>
      <c r="D7">
        <f t="shared" si="0"/>
        <v>0.720921104278425</v>
      </c>
      <c r="F7" s="30" t="s">
        <v>7</v>
      </c>
      <c r="G7">
        <v>0.14</v>
      </c>
      <c r="H7" s="41">
        <f>(G7-0.0208)/1.5286</f>
        <v>0.0779798508439095</v>
      </c>
      <c r="I7">
        <f t="shared" si="1"/>
        <v>0.779798508439095</v>
      </c>
      <c r="J7" s="30" t="s">
        <v>7</v>
      </c>
      <c r="K7">
        <v>0.142</v>
      </c>
      <c r="L7" s="41">
        <f>(K7-0.0208)/1.5286</f>
        <v>0.0792882376030355</v>
      </c>
      <c r="M7" s="41">
        <f t="shared" si="2"/>
        <v>0.792882376030355</v>
      </c>
    </row>
    <row r="8" spans="1:13">
      <c r="A8" s="30" t="s">
        <v>8</v>
      </c>
      <c r="B8">
        <v>0.227</v>
      </c>
      <c r="C8" s="41">
        <f t="shared" ref="C8:C9" si="3">(B8-0.0208)/1.5286</f>
        <v>0.13489467486589</v>
      </c>
      <c r="D8">
        <f t="shared" si="0"/>
        <v>1.3489467486589</v>
      </c>
      <c r="F8" s="30" t="s">
        <v>8</v>
      </c>
      <c r="G8">
        <v>0.23</v>
      </c>
      <c r="H8" s="41">
        <f t="shared" ref="H8:H15" si="4">(G8-0.0208)/1.5286</f>
        <v>0.136857255004579</v>
      </c>
      <c r="I8">
        <f t="shared" si="1"/>
        <v>1.36857255004579</v>
      </c>
      <c r="J8" s="30" t="s">
        <v>8</v>
      </c>
      <c r="K8">
        <v>0.231</v>
      </c>
      <c r="L8" s="41">
        <f t="shared" ref="L8:L15" si="5">(K8-0.0208)/1.5286</f>
        <v>0.137511448384142</v>
      </c>
      <c r="M8" s="41">
        <f t="shared" si="2"/>
        <v>1.37511448384142</v>
      </c>
    </row>
    <row r="9" spans="1:13">
      <c r="A9" s="30" t="s">
        <v>9</v>
      </c>
      <c r="B9">
        <v>0.276</v>
      </c>
      <c r="C9" s="41">
        <f t="shared" si="3"/>
        <v>0.166950150464477</v>
      </c>
      <c r="D9">
        <f t="shared" si="0"/>
        <v>1.66950150464477</v>
      </c>
      <c r="F9" s="30" t="s">
        <v>9</v>
      </c>
      <c r="G9">
        <v>0.274</v>
      </c>
      <c r="H9" s="41">
        <f t="shared" si="4"/>
        <v>0.165641763705351</v>
      </c>
      <c r="I9">
        <f t="shared" si="1"/>
        <v>1.65641763705351</v>
      </c>
      <c r="J9" s="30" t="s">
        <v>9</v>
      </c>
      <c r="K9">
        <v>0.278</v>
      </c>
      <c r="L9" s="41">
        <f t="shared" si="5"/>
        <v>0.168258537223603</v>
      </c>
      <c r="M9" s="41">
        <f t="shared" si="2"/>
        <v>1.68258537223603</v>
      </c>
    </row>
    <row r="10" spans="1:13">
      <c r="A10" s="30" t="s">
        <v>10</v>
      </c>
      <c r="B10">
        <v>0.211</v>
      </c>
      <c r="C10" s="41">
        <f t="shared" ref="C10:C16" si="6">(B10-0.0208)/1.5286</f>
        <v>0.124427580792882</v>
      </c>
      <c r="D10">
        <f t="shared" si="0"/>
        <v>1.24427580792882</v>
      </c>
      <c r="F10" s="30" t="s">
        <v>10</v>
      </c>
      <c r="G10">
        <v>0.215</v>
      </c>
      <c r="H10" s="41">
        <f t="shared" si="4"/>
        <v>0.127044354311134</v>
      </c>
      <c r="I10">
        <f t="shared" si="1"/>
        <v>1.27044354311134</v>
      </c>
      <c r="J10" s="30" t="s">
        <v>10</v>
      </c>
      <c r="K10">
        <v>0.218</v>
      </c>
      <c r="L10" s="41">
        <f t="shared" si="5"/>
        <v>0.129006934449823</v>
      </c>
      <c r="M10" s="41">
        <f t="shared" si="2"/>
        <v>1.29006934449823</v>
      </c>
    </row>
    <row r="11" spans="1:13">
      <c r="A11" s="87" t="s">
        <v>11</v>
      </c>
      <c r="B11" s="88">
        <v>0.28</v>
      </c>
      <c r="C11" s="89">
        <f t="shared" si="6"/>
        <v>0.169566923982729</v>
      </c>
      <c r="D11">
        <f t="shared" si="0"/>
        <v>1.69566923982729</v>
      </c>
      <c r="F11" s="87" t="s">
        <v>11</v>
      </c>
      <c r="G11" s="88">
        <v>0.285</v>
      </c>
      <c r="H11" s="41">
        <f t="shared" si="4"/>
        <v>0.172837890880544</v>
      </c>
      <c r="I11">
        <f t="shared" si="1"/>
        <v>1.72837890880544</v>
      </c>
      <c r="J11" s="87" t="s">
        <v>11</v>
      </c>
      <c r="K11" s="88">
        <v>0.282</v>
      </c>
      <c r="L11" s="41">
        <f t="shared" si="5"/>
        <v>0.170875310741855</v>
      </c>
      <c r="M11" s="41">
        <f t="shared" si="2"/>
        <v>1.70875310741855</v>
      </c>
    </row>
    <row r="12" spans="1:13">
      <c r="A12" s="30" t="s">
        <v>12</v>
      </c>
      <c r="B12">
        <v>0.247</v>
      </c>
      <c r="C12" s="41">
        <f t="shared" si="6"/>
        <v>0.14797854245715</v>
      </c>
      <c r="D12">
        <f t="shared" si="0"/>
        <v>1.4797854245715</v>
      </c>
      <c r="F12" s="30" t="s">
        <v>12</v>
      </c>
      <c r="G12">
        <v>0.243</v>
      </c>
      <c r="H12" s="41">
        <f t="shared" si="4"/>
        <v>0.145361768938898</v>
      </c>
      <c r="I12">
        <f t="shared" si="1"/>
        <v>1.45361768938898</v>
      </c>
      <c r="J12" s="30" t="s">
        <v>12</v>
      </c>
      <c r="K12">
        <v>0.251</v>
      </c>
      <c r="L12" s="41">
        <f t="shared" si="5"/>
        <v>0.150595315975402</v>
      </c>
      <c r="M12" s="41">
        <f t="shared" si="2"/>
        <v>1.50595315975402</v>
      </c>
    </row>
    <row r="13" spans="1:13">
      <c r="A13" s="30" t="s">
        <v>13</v>
      </c>
      <c r="B13">
        <v>0.202</v>
      </c>
      <c r="C13" s="41">
        <f t="shared" si="6"/>
        <v>0.118539840376815</v>
      </c>
      <c r="D13">
        <f t="shared" si="0"/>
        <v>1.18539840376815</v>
      </c>
      <c r="F13" s="30" t="s">
        <v>13</v>
      </c>
      <c r="G13">
        <v>0.208</v>
      </c>
      <c r="H13" s="41">
        <f t="shared" si="4"/>
        <v>0.122465000654193</v>
      </c>
      <c r="I13">
        <f t="shared" si="1"/>
        <v>1.22465000654193</v>
      </c>
      <c r="J13" s="30" t="s">
        <v>13</v>
      </c>
      <c r="K13">
        <v>0.21</v>
      </c>
      <c r="L13" s="41">
        <f t="shared" si="5"/>
        <v>0.123773387413319</v>
      </c>
      <c r="M13" s="41">
        <f t="shared" si="2"/>
        <v>1.23773387413319</v>
      </c>
    </row>
    <row r="14" spans="1:13">
      <c r="A14" s="30" t="s">
        <v>14</v>
      </c>
      <c r="B14">
        <v>0.23</v>
      </c>
      <c r="C14" s="41">
        <f t="shared" si="6"/>
        <v>0.136857255004579</v>
      </c>
      <c r="D14">
        <f t="shared" si="0"/>
        <v>1.36857255004579</v>
      </c>
      <c r="F14" s="30" t="s">
        <v>14</v>
      </c>
      <c r="G14">
        <v>0.233</v>
      </c>
      <c r="H14" s="41">
        <f t="shared" si="4"/>
        <v>0.138819835143268</v>
      </c>
      <c r="I14">
        <f t="shared" si="1"/>
        <v>1.38819835143268</v>
      </c>
      <c r="J14" s="30" t="s">
        <v>14</v>
      </c>
      <c r="K14">
        <v>0.231</v>
      </c>
      <c r="L14" s="41">
        <f t="shared" si="5"/>
        <v>0.137511448384142</v>
      </c>
      <c r="M14" s="41">
        <f t="shared" si="2"/>
        <v>1.37511448384142</v>
      </c>
    </row>
    <row r="15" spans="1:13">
      <c r="A15" s="30" t="s">
        <v>15</v>
      </c>
      <c r="B15">
        <v>0.248</v>
      </c>
      <c r="C15" s="41">
        <f t="shared" si="6"/>
        <v>0.148632735836713</v>
      </c>
      <c r="D15">
        <f t="shared" si="0"/>
        <v>1.48632735836713</v>
      </c>
      <c r="F15" s="30" t="s">
        <v>15</v>
      </c>
      <c r="G15">
        <v>0.245</v>
      </c>
      <c r="H15" s="41">
        <f t="shared" si="4"/>
        <v>0.146670155698024</v>
      </c>
      <c r="I15">
        <f t="shared" si="1"/>
        <v>1.46670155698024</v>
      </c>
      <c r="J15" s="30" t="s">
        <v>15</v>
      </c>
      <c r="K15">
        <v>0.251</v>
      </c>
      <c r="L15" s="41">
        <f t="shared" si="5"/>
        <v>0.150595315975402</v>
      </c>
      <c r="M15" s="41">
        <f t="shared" si="2"/>
        <v>1.50595315975402</v>
      </c>
    </row>
    <row r="18" spans="2:12"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</row>
    <row r="19" spans="2:2">
      <c r="B19" s="63"/>
    </row>
    <row r="20" spans="2:5">
      <c r="B20" s="63"/>
      <c r="C20"/>
      <c r="D20"/>
      <c r="E20" s="41"/>
    </row>
    <row r="21" spans="2:11">
      <c r="B21" s="63"/>
      <c r="C21"/>
      <c r="D21"/>
      <c r="E21"/>
      <c r="F21"/>
      <c r="G21"/>
      <c r="H21"/>
      <c r="I21" s="19"/>
      <c r="J21" s="19"/>
      <c r="K21" s="19"/>
    </row>
    <row r="22" spans="2:5">
      <c r="B22" s="63"/>
      <c r="C22"/>
      <c r="D22" s="41"/>
      <c r="E22" s="41"/>
    </row>
    <row r="31" spans="3:12">
      <c r="C31" s="63"/>
      <c r="D31" s="63"/>
      <c r="E31" s="63"/>
      <c r="F31" s="63"/>
      <c r="G31" s="63"/>
      <c r="H31" s="63"/>
      <c r="I31" s="63"/>
      <c r="J31" s="63"/>
      <c r="K31" s="63"/>
      <c r="L31" s="63"/>
    </row>
    <row r="37" spans="2:2">
      <c r="B37" s="63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R11"/>
  <sheetViews>
    <sheetView workbookViewId="0">
      <selection activeCell="E38" sqref="E38"/>
    </sheetView>
  </sheetViews>
  <sheetFormatPr defaultColWidth="9" defaultRowHeight="14.25"/>
  <cols>
    <col min="1" max="1" width="8.83333333333333" customWidth="1"/>
    <col min="4" max="4" width="12.6666666666667"/>
    <col min="5" max="5" width="12.625"/>
    <col min="8" max="8" width="12.625"/>
    <col min="11" max="11" width="12.625"/>
    <col min="14" max="14" width="10.5" customWidth="1"/>
    <col min="18" max="18" width="12.625"/>
  </cols>
  <sheetData>
    <row r="2" spans="1:14">
      <c r="A2" s="86" t="s">
        <v>16</v>
      </c>
      <c r="B2" s="75"/>
      <c r="C2" s="75"/>
      <c r="D2" s="75"/>
      <c r="E2" s="75"/>
      <c r="N2" s="30" t="s">
        <v>17</v>
      </c>
    </row>
    <row r="3" spans="3:17">
      <c r="C3" s="30" t="s">
        <v>1</v>
      </c>
      <c r="D3" s="30" t="s">
        <v>2</v>
      </c>
      <c r="E3" t="s">
        <v>3</v>
      </c>
      <c r="F3" s="30" t="s">
        <v>1</v>
      </c>
      <c r="H3" t="s">
        <v>3</v>
      </c>
      <c r="I3" s="30" t="s">
        <v>1</v>
      </c>
      <c r="K3" t="s">
        <v>3</v>
      </c>
      <c r="N3" s="30" t="s">
        <v>18</v>
      </c>
      <c r="O3">
        <v>0.174</v>
      </c>
      <c r="P3">
        <v>0.173</v>
      </c>
      <c r="Q3">
        <v>0.172</v>
      </c>
    </row>
    <row r="4" spans="1:18">
      <c r="A4" s="30" t="s">
        <v>18</v>
      </c>
      <c r="C4">
        <v>0.287</v>
      </c>
      <c r="D4" s="41">
        <f>(C4-0.0208)/1.5286</f>
        <v>0.17414627763967</v>
      </c>
      <c r="E4">
        <f>D4*10</f>
        <v>1.7414627763967</v>
      </c>
      <c r="F4">
        <v>0.285</v>
      </c>
      <c r="G4" s="41">
        <f>(F4-0.0208)/1.5286</f>
        <v>0.172837890880544</v>
      </c>
      <c r="H4">
        <f>G4*10</f>
        <v>1.72837890880544</v>
      </c>
      <c r="I4">
        <v>0.283</v>
      </c>
      <c r="J4" s="41">
        <f>(I4-0.0208)/1.5286</f>
        <v>0.171529504121418</v>
      </c>
      <c r="K4">
        <f>J4*10</f>
        <v>1.71529504121418</v>
      </c>
      <c r="N4" s="87" t="s">
        <v>19</v>
      </c>
      <c r="O4">
        <v>0.199</v>
      </c>
      <c r="P4">
        <v>0.196</v>
      </c>
      <c r="Q4">
        <v>0.198</v>
      </c>
      <c r="R4">
        <f>(O4+P4+Q4)/3</f>
        <v>0.197666666666667</v>
      </c>
    </row>
    <row r="5" spans="1:17">
      <c r="A5" s="87" t="s">
        <v>19</v>
      </c>
      <c r="B5" s="88"/>
      <c r="C5" s="88">
        <v>0.325</v>
      </c>
      <c r="D5" s="89">
        <f t="shared" ref="D5:D11" si="0">(C5-0.0208)/1.5286</f>
        <v>0.199005626063064</v>
      </c>
      <c r="E5">
        <f t="shared" ref="E5:E11" si="1">D5*10</f>
        <v>1.99005626063064</v>
      </c>
      <c r="F5" s="88">
        <v>0.32</v>
      </c>
      <c r="G5" s="41">
        <f t="shared" ref="G5:G8" si="2">(F5-0.0208)/1.5286</f>
        <v>0.195734659165249</v>
      </c>
      <c r="H5">
        <f t="shared" ref="H5:H11" si="3">G5*10</f>
        <v>1.95734659165249</v>
      </c>
      <c r="I5" s="88">
        <v>0.323</v>
      </c>
      <c r="J5" s="41">
        <f t="shared" ref="J5:J8" si="4">(I5-0.0208)/1.5286</f>
        <v>0.197697239303938</v>
      </c>
      <c r="K5">
        <f t="shared" ref="K5:K11" si="5">J5*10</f>
        <v>1.97697239303938</v>
      </c>
      <c r="N5" s="30" t="s">
        <v>20</v>
      </c>
      <c r="O5">
        <v>0.19</v>
      </c>
      <c r="P5">
        <v>0.191</v>
      </c>
      <c r="Q5">
        <v>0.188</v>
      </c>
    </row>
    <row r="6" spans="1:17">
      <c r="A6" s="30" t="s">
        <v>20</v>
      </c>
      <c r="C6">
        <v>0.311</v>
      </c>
      <c r="D6" s="41">
        <f t="shared" si="0"/>
        <v>0.189846918749182</v>
      </c>
      <c r="E6">
        <f t="shared" si="1"/>
        <v>1.89846918749182</v>
      </c>
      <c r="F6">
        <v>0.313</v>
      </c>
      <c r="G6" s="41">
        <f t="shared" si="2"/>
        <v>0.191155305508308</v>
      </c>
      <c r="H6">
        <f t="shared" si="3"/>
        <v>1.91155305508308</v>
      </c>
      <c r="I6">
        <v>0.308</v>
      </c>
      <c r="J6" s="41">
        <f t="shared" si="4"/>
        <v>0.187884338610493</v>
      </c>
      <c r="K6">
        <f t="shared" si="5"/>
        <v>1.87884338610493</v>
      </c>
      <c r="N6" s="30" t="s">
        <v>21</v>
      </c>
      <c r="O6">
        <v>0.184</v>
      </c>
      <c r="P6">
        <v>0.187</v>
      </c>
      <c r="Q6">
        <v>0.185</v>
      </c>
    </row>
    <row r="7" spans="1:17">
      <c r="A7" s="30" t="s">
        <v>21</v>
      </c>
      <c r="C7">
        <v>0.302</v>
      </c>
      <c r="D7" s="41">
        <f t="shared" si="0"/>
        <v>0.183959178333115</v>
      </c>
      <c r="E7">
        <f t="shared" si="1"/>
        <v>1.83959178333115</v>
      </c>
      <c r="F7">
        <v>0.307</v>
      </c>
      <c r="G7" s="41">
        <f t="shared" si="2"/>
        <v>0.18723014523093</v>
      </c>
      <c r="H7">
        <f t="shared" si="3"/>
        <v>1.8723014523093</v>
      </c>
      <c r="I7">
        <v>0.304</v>
      </c>
      <c r="J7" s="41">
        <f t="shared" si="4"/>
        <v>0.185267565092241</v>
      </c>
      <c r="K7">
        <f t="shared" si="5"/>
        <v>1.85267565092241</v>
      </c>
      <c r="N7" s="30" t="s">
        <v>22</v>
      </c>
      <c r="O7">
        <v>0.179</v>
      </c>
      <c r="P7">
        <v>0.178</v>
      </c>
      <c r="Q7">
        <v>0.18</v>
      </c>
    </row>
    <row r="8" spans="1:17">
      <c r="A8" s="30" t="s">
        <v>22</v>
      </c>
      <c r="C8">
        <v>0.294</v>
      </c>
      <c r="D8" s="41">
        <f t="shared" si="0"/>
        <v>0.178725631296611</v>
      </c>
      <c r="E8">
        <f t="shared" si="1"/>
        <v>1.78725631296611</v>
      </c>
      <c r="F8">
        <v>0.293</v>
      </c>
      <c r="G8" s="41">
        <f t="shared" si="2"/>
        <v>0.178071437917048</v>
      </c>
      <c r="H8">
        <f t="shared" si="3"/>
        <v>1.78071437917048</v>
      </c>
      <c r="I8">
        <v>0.296</v>
      </c>
      <c r="J8" s="41">
        <f t="shared" si="4"/>
        <v>0.180034018055737</v>
      </c>
      <c r="K8">
        <f t="shared" si="5"/>
        <v>1.80034018055737</v>
      </c>
      <c r="N8" t="s">
        <v>23</v>
      </c>
      <c r="O8">
        <v>0.098</v>
      </c>
      <c r="P8">
        <v>0.102</v>
      </c>
      <c r="Q8">
        <v>0.1</v>
      </c>
    </row>
    <row r="9" spans="3:5">
      <c r="C9" s="41">
        <v>0.17</v>
      </c>
      <c r="D9">
        <f t="shared" si="0"/>
        <v>0.0976056522307994</v>
      </c>
      <c r="E9">
        <f t="shared" si="1"/>
        <v>0.976056522307994</v>
      </c>
    </row>
    <row r="10" spans="1:5">
      <c r="A10" s="30" t="s">
        <v>24</v>
      </c>
      <c r="C10">
        <v>0.177</v>
      </c>
      <c r="D10">
        <f t="shared" si="0"/>
        <v>0.10218500588774</v>
      </c>
      <c r="E10">
        <f t="shared" si="1"/>
        <v>1.0218500588774</v>
      </c>
    </row>
    <row r="11" spans="3:5">
      <c r="C11">
        <v>0.174</v>
      </c>
      <c r="D11">
        <f t="shared" si="0"/>
        <v>0.100222425749051</v>
      </c>
      <c r="E11">
        <f t="shared" si="1"/>
        <v>1.00222425749051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N94"/>
  <sheetViews>
    <sheetView zoomScale="85" zoomScaleNormal="85" topLeftCell="A45" workbookViewId="0">
      <selection activeCell="H59" sqref="H59"/>
    </sheetView>
  </sheetViews>
  <sheetFormatPr defaultColWidth="8.66666666666667" defaultRowHeight="14.25"/>
  <cols>
    <col min="3" max="3" width="10.5" customWidth="1"/>
    <col min="4" max="4" width="11.5833333333333" customWidth="1"/>
    <col min="7" max="7" width="14.4166666666667" customWidth="1"/>
    <col min="9" max="9" width="13.8333333333333" customWidth="1"/>
    <col min="10" max="10" width="22" customWidth="1"/>
    <col min="11" max="11" width="8.75"/>
    <col min="14" max="14" width="12.6666666666667"/>
  </cols>
  <sheetData>
    <row r="2" spans="1:13">
      <c r="A2" s="69" t="s">
        <v>25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4">
      <c r="A3" s="61" t="s">
        <v>26</v>
      </c>
      <c r="B3" s="30"/>
      <c r="C3" s="30" t="s">
        <v>27</v>
      </c>
      <c r="D3" s="30" t="s">
        <v>28</v>
      </c>
      <c r="E3" s="30" t="s">
        <v>29</v>
      </c>
      <c r="F3" s="30" t="s">
        <v>30</v>
      </c>
      <c r="G3" s="30" t="s">
        <v>31</v>
      </c>
      <c r="H3" s="30"/>
      <c r="I3" s="30" t="s">
        <v>32</v>
      </c>
      <c r="J3" s="30" t="s">
        <v>33</v>
      </c>
      <c r="K3" s="81">
        <v>0.05</v>
      </c>
      <c r="L3" s="30"/>
      <c r="M3" s="30" t="s">
        <v>34</v>
      </c>
      <c r="N3" t="s">
        <v>35</v>
      </c>
    </row>
    <row r="4" spans="1:14">
      <c r="A4" s="61" t="s">
        <v>36</v>
      </c>
      <c r="B4" s="61">
        <v>1</v>
      </c>
      <c r="C4" s="30">
        <v>41.663</v>
      </c>
      <c r="D4" s="30">
        <v>46.672</v>
      </c>
      <c r="E4" s="30">
        <v>5.009</v>
      </c>
      <c r="F4" s="30">
        <v>46.567</v>
      </c>
      <c r="G4" s="30">
        <f t="shared" ref="G4:G13" si="0">(D4-F4)/E4</f>
        <v>0.0209622679177474</v>
      </c>
      <c r="H4" s="30"/>
      <c r="I4" s="30">
        <f t="shared" ref="I4:I8" si="1">G4-J4</f>
        <v>0.000275010284668802</v>
      </c>
      <c r="J4" s="82">
        <f t="shared" ref="J4:J8" si="2">(G4+G5)/2</f>
        <v>0.0206872576330786</v>
      </c>
      <c r="K4" s="82">
        <f t="shared" ref="K4:K8" si="3">J4*0.05</f>
        <v>0.00103436288165393</v>
      </c>
      <c r="L4" s="83"/>
      <c r="M4" s="83">
        <f t="shared" ref="M4:M13" si="4">(E4-G4)/E4</f>
        <v>0.995815079273758</v>
      </c>
      <c r="N4" s="41">
        <f>(M4+M5)/2</f>
        <v>0.995865089431915</v>
      </c>
    </row>
    <row r="5" spans="1:14">
      <c r="A5" s="61"/>
      <c r="B5" s="61">
        <v>2</v>
      </c>
      <c r="C5" s="30">
        <v>39.594</v>
      </c>
      <c r="D5" s="30">
        <v>44.591</v>
      </c>
      <c r="E5" s="30">
        <v>4.997</v>
      </c>
      <c r="F5" s="30">
        <v>44.489</v>
      </c>
      <c r="G5" s="30">
        <f t="shared" si="0"/>
        <v>0.0204122473484098</v>
      </c>
      <c r="H5" s="30"/>
      <c r="I5" s="30">
        <f t="shared" ref="I5:I9" si="5">G5-J4</f>
        <v>-0.000275010284668805</v>
      </c>
      <c r="J5" s="82"/>
      <c r="K5" s="82"/>
      <c r="L5" s="83"/>
      <c r="M5" s="83">
        <f t="shared" si="4"/>
        <v>0.995915099590072</v>
      </c>
      <c r="N5" s="41"/>
    </row>
    <row r="6" spans="1:14">
      <c r="A6" s="70" t="s">
        <v>37</v>
      </c>
      <c r="B6" s="61">
        <v>1</v>
      </c>
      <c r="C6" s="30">
        <v>41.547</v>
      </c>
      <c r="D6" s="30">
        <v>46.554</v>
      </c>
      <c r="E6" s="30">
        <v>5.007</v>
      </c>
      <c r="F6" s="51">
        <v>46.47</v>
      </c>
      <c r="G6" s="30">
        <f t="shared" si="0"/>
        <v>0.0167765128819659</v>
      </c>
      <c r="H6" s="30"/>
      <c r="I6" s="30">
        <f t="shared" si="1"/>
        <v>0.000774551772579766</v>
      </c>
      <c r="J6" s="82">
        <f t="shared" si="2"/>
        <v>0.0160019611093861</v>
      </c>
      <c r="K6" s="82">
        <f t="shared" si="3"/>
        <v>0.000800098055469306</v>
      </c>
      <c r="L6" s="83"/>
      <c r="M6" s="83">
        <f t="shared" si="4"/>
        <v>0.996649388280015</v>
      </c>
      <c r="N6" s="41">
        <f>(M6+M7)/2</f>
        <v>0.996799207330069</v>
      </c>
    </row>
    <row r="7" spans="1:14">
      <c r="A7" s="70"/>
      <c r="B7" s="61">
        <v>2</v>
      </c>
      <c r="C7" s="30">
        <v>42.574</v>
      </c>
      <c r="D7" s="30">
        <v>47.565</v>
      </c>
      <c r="E7" s="30">
        <v>4.991</v>
      </c>
      <c r="F7" s="30">
        <v>47.489</v>
      </c>
      <c r="G7" s="30">
        <f t="shared" si="0"/>
        <v>0.0152274093368064</v>
      </c>
      <c r="H7" s="30"/>
      <c r="I7" s="30">
        <f t="shared" si="5"/>
        <v>-0.000774551772579766</v>
      </c>
      <c r="J7" s="82"/>
      <c r="K7" s="82"/>
      <c r="L7" s="83"/>
      <c r="M7" s="83">
        <f t="shared" si="4"/>
        <v>0.996949026380123</v>
      </c>
      <c r="N7" s="41"/>
    </row>
    <row r="8" spans="1:14">
      <c r="A8" s="61" t="s">
        <v>38</v>
      </c>
      <c r="B8" s="61">
        <v>1</v>
      </c>
      <c r="C8" s="30">
        <v>43.389</v>
      </c>
      <c r="D8" s="30">
        <v>48.366</v>
      </c>
      <c r="E8" s="30">
        <v>4.977</v>
      </c>
      <c r="F8" s="30">
        <v>48.294</v>
      </c>
      <c r="G8" s="30">
        <f t="shared" si="0"/>
        <v>0.0144665461121163</v>
      </c>
      <c r="H8" s="30"/>
      <c r="I8" s="30">
        <f t="shared" si="1"/>
        <v>-0.000566726943942155</v>
      </c>
      <c r="J8" s="82">
        <f t="shared" si="2"/>
        <v>0.0150332730560584</v>
      </c>
      <c r="K8" s="82">
        <f t="shared" si="3"/>
        <v>0.000751663652802922</v>
      </c>
      <c r="L8" s="83"/>
      <c r="M8" s="83">
        <f t="shared" si="4"/>
        <v>0.997093320049806</v>
      </c>
      <c r="N8" s="41">
        <f>(M8+M9)/2</f>
        <v>0.996986660024903</v>
      </c>
    </row>
    <row r="9" spans="1:14">
      <c r="A9" s="61"/>
      <c r="B9" s="61">
        <v>2</v>
      </c>
      <c r="C9" s="30">
        <v>41.286</v>
      </c>
      <c r="D9" s="30">
        <v>46.286</v>
      </c>
      <c r="E9" s="30">
        <v>5</v>
      </c>
      <c r="F9" s="30">
        <v>46.208</v>
      </c>
      <c r="G9" s="30">
        <f t="shared" si="0"/>
        <v>0.0156000000000006</v>
      </c>
      <c r="H9" s="30"/>
      <c r="I9" s="30">
        <f t="shared" si="5"/>
        <v>0.000566726943942155</v>
      </c>
      <c r="J9" s="82"/>
      <c r="K9" s="82"/>
      <c r="L9" s="83"/>
      <c r="M9" s="83">
        <f t="shared" si="4"/>
        <v>0.99688</v>
      </c>
      <c r="N9" s="41"/>
    </row>
    <row r="10" spans="1:14">
      <c r="A10" s="61" t="s">
        <v>39</v>
      </c>
      <c r="B10" s="61">
        <v>1</v>
      </c>
      <c r="C10" s="30">
        <v>43.894</v>
      </c>
      <c r="D10" s="30">
        <v>48.9</v>
      </c>
      <c r="E10" s="30">
        <v>5.006</v>
      </c>
      <c r="F10" s="30">
        <v>48.84</v>
      </c>
      <c r="G10" s="30">
        <f t="shared" si="0"/>
        <v>0.0119856172592879</v>
      </c>
      <c r="H10" s="30"/>
      <c r="I10" s="30">
        <f>G10-J10</f>
        <v>-0.000476140414941817</v>
      </c>
      <c r="J10" s="82">
        <f>(G10+G11)/2</f>
        <v>0.0124617576742297</v>
      </c>
      <c r="K10" s="82">
        <f>J10*0.05</f>
        <v>0.000623087883711485</v>
      </c>
      <c r="L10" s="83"/>
      <c r="M10" s="83">
        <f t="shared" si="4"/>
        <v>0.997605749648564</v>
      </c>
      <c r="N10" s="41">
        <f>(M10+M11)/2</f>
        <v>0.99751526553993</v>
      </c>
    </row>
    <row r="11" spans="1:14">
      <c r="A11" s="61"/>
      <c r="B11" s="61">
        <v>2</v>
      </c>
      <c r="C11" s="30">
        <v>38.629</v>
      </c>
      <c r="D11" s="30">
        <v>43.653</v>
      </c>
      <c r="E11" s="30">
        <v>5.024</v>
      </c>
      <c r="F11" s="30">
        <v>43.588</v>
      </c>
      <c r="G11" s="30">
        <f t="shared" si="0"/>
        <v>0.0129378980891715</v>
      </c>
      <c r="H11" s="30"/>
      <c r="I11" s="30">
        <f>G11-J10</f>
        <v>0.000476140414941819</v>
      </c>
      <c r="J11" s="82"/>
      <c r="K11" s="82"/>
      <c r="L11" s="83"/>
      <c r="M11" s="83">
        <f t="shared" si="4"/>
        <v>0.997424781431295</v>
      </c>
      <c r="N11" s="41"/>
    </row>
    <row r="12" spans="1:14">
      <c r="A12" s="61" t="s">
        <v>40</v>
      </c>
      <c r="B12" s="61">
        <v>1</v>
      </c>
      <c r="C12" s="30">
        <v>41.574</v>
      </c>
      <c r="D12" s="30">
        <v>46.579</v>
      </c>
      <c r="E12" s="30">
        <v>5.005</v>
      </c>
      <c r="F12" s="30">
        <v>46.516</v>
      </c>
      <c r="G12" s="30">
        <f t="shared" si="0"/>
        <v>0.0125874125874131</v>
      </c>
      <c r="H12" s="30"/>
      <c r="I12" s="30">
        <f>G12-J12</f>
        <v>-0.000437256133458443</v>
      </c>
      <c r="J12" s="82">
        <f>(G12+G13)/2</f>
        <v>0.0130246687208715</v>
      </c>
      <c r="K12" s="82">
        <f>J12*0.05</f>
        <v>0.000651233436043575</v>
      </c>
      <c r="L12" s="83"/>
      <c r="M12" s="83">
        <f t="shared" si="4"/>
        <v>0.997485032450067</v>
      </c>
      <c r="N12" s="41">
        <f>(M12+M13)/2</f>
        <v>0.997390102637096</v>
      </c>
    </row>
    <row r="13" spans="1:14">
      <c r="A13" s="61"/>
      <c r="B13" s="61">
        <v>2</v>
      </c>
      <c r="C13" s="30">
        <v>40.825</v>
      </c>
      <c r="D13" s="30">
        <v>45.802</v>
      </c>
      <c r="E13" s="30">
        <v>4.977</v>
      </c>
      <c r="F13" s="30">
        <v>45.735</v>
      </c>
      <c r="G13" s="30">
        <f t="shared" si="0"/>
        <v>0.01346192485433</v>
      </c>
      <c r="H13" s="30"/>
      <c r="I13" s="30">
        <f>G13-J12</f>
        <v>0.000437256133458443</v>
      </c>
      <c r="J13" s="82"/>
      <c r="K13" s="82"/>
      <c r="L13" s="83"/>
      <c r="M13" s="83">
        <f t="shared" si="4"/>
        <v>0.997295172824125</v>
      </c>
      <c r="N13" s="41"/>
    </row>
    <row r="14" spans="1:1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pans="1:13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</row>
    <row r="16" spans="1:13">
      <c r="A16" s="71" t="s">
        <v>41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</row>
    <row r="17" spans="1:13">
      <c r="A17" s="61" t="s">
        <v>26</v>
      </c>
      <c r="B17" s="30"/>
      <c r="C17" s="30" t="s">
        <v>42</v>
      </c>
      <c r="D17" s="30" t="s">
        <v>43</v>
      </c>
      <c r="E17" s="30" t="s">
        <v>44</v>
      </c>
      <c r="F17" s="30" t="s">
        <v>45</v>
      </c>
      <c r="G17" s="30" t="s">
        <v>46</v>
      </c>
      <c r="H17" s="30" t="s">
        <v>32</v>
      </c>
      <c r="I17" s="30" t="s">
        <v>33</v>
      </c>
      <c r="J17" s="81">
        <v>0.02</v>
      </c>
      <c r="K17" s="30"/>
      <c r="L17" s="30"/>
      <c r="M17" s="30"/>
    </row>
    <row r="18" spans="1:13">
      <c r="A18" s="61" t="s">
        <v>36</v>
      </c>
      <c r="B18" s="61">
        <v>1</v>
      </c>
      <c r="C18" s="30">
        <v>2.005</v>
      </c>
      <c r="D18" s="30">
        <v>42.34</v>
      </c>
      <c r="E18" s="30">
        <v>43.473</v>
      </c>
      <c r="F18" s="30">
        <f t="shared" ref="F18:F27" si="6">E18-D18</f>
        <v>1.133</v>
      </c>
      <c r="G18" s="30">
        <f t="shared" ref="G18:G27" si="7">1-F18/(C18*M4)</f>
        <v>0.432537934444994</v>
      </c>
      <c r="H18" s="30">
        <f t="shared" ref="H18:H22" si="8">G18-I18</f>
        <v>-0.000248579984069519</v>
      </c>
      <c r="I18" s="82">
        <f t="shared" ref="I18:I22" si="9">(G18+G19)/2</f>
        <v>0.432786514429063</v>
      </c>
      <c r="J18" s="61">
        <f t="shared" ref="J18:J22" si="10">I18*0.02</f>
        <v>0.00865573028858126</v>
      </c>
      <c r="K18" s="30"/>
      <c r="L18" s="30"/>
      <c r="M18" s="30"/>
    </row>
    <row r="19" spans="1:13">
      <c r="A19" s="61"/>
      <c r="B19" s="61">
        <v>2</v>
      </c>
      <c r="C19" s="30">
        <v>2.065</v>
      </c>
      <c r="D19" s="30">
        <v>40.688</v>
      </c>
      <c r="E19" s="30">
        <v>41.854</v>
      </c>
      <c r="F19" s="30">
        <f t="shared" si="6"/>
        <v>1.166</v>
      </c>
      <c r="G19" s="30">
        <f t="shared" si="7"/>
        <v>0.433035094413133</v>
      </c>
      <c r="H19" s="30">
        <f t="shared" ref="H19:H23" si="11">G19-I18</f>
        <v>0.000248579984069519</v>
      </c>
      <c r="I19" s="82"/>
      <c r="J19" s="61"/>
      <c r="K19" s="30"/>
      <c r="L19" s="30"/>
      <c r="M19" s="30"/>
    </row>
    <row r="20" spans="1:13">
      <c r="A20" s="61" t="s">
        <v>37</v>
      </c>
      <c r="B20" s="61">
        <v>1</v>
      </c>
      <c r="C20" s="30">
        <v>2.003</v>
      </c>
      <c r="D20" s="30">
        <v>42.695</v>
      </c>
      <c r="E20" s="30">
        <v>43.855</v>
      </c>
      <c r="F20" s="30">
        <f t="shared" si="6"/>
        <v>1.16</v>
      </c>
      <c r="G20" s="30">
        <f t="shared" si="7"/>
        <v>0.418921729290502</v>
      </c>
      <c r="H20" s="30">
        <f t="shared" si="8"/>
        <v>0.000199385350720116</v>
      </c>
      <c r="I20" s="82">
        <f t="shared" si="9"/>
        <v>0.418722343939782</v>
      </c>
      <c r="J20" s="61">
        <f t="shared" si="10"/>
        <v>0.00837444687879564</v>
      </c>
      <c r="K20" s="30"/>
      <c r="L20" s="30"/>
      <c r="M20" s="30"/>
    </row>
    <row r="21" spans="1:13">
      <c r="A21" s="61"/>
      <c r="B21" s="61">
        <v>2</v>
      </c>
      <c r="C21" s="30">
        <v>2.02</v>
      </c>
      <c r="D21" s="30">
        <v>42.619</v>
      </c>
      <c r="E21" s="30">
        <v>43.79</v>
      </c>
      <c r="F21" s="30">
        <f t="shared" si="6"/>
        <v>1.171</v>
      </c>
      <c r="G21" s="30">
        <f t="shared" si="7"/>
        <v>0.418522958589062</v>
      </c>
      <c r="H21" s="30">
        <f t="shared" si="11"/>
        <v>-0.000199385350720116</v>
      </c>
      <c r="I21" s="82"/>
      <c r="J21" s="61"/>
      <c r="K21" s="30"/>
      <c r="L21" s="30"/>
      <c r="M21" s="30"/>
    </row>
    <row r="22" spans="1:13">
      <c r="A22" s="61" t="s">
        <v>38</v>
      </c>
      <c r="B22" s="61">
        <v>1</v>
      </c>
      <c r="C22" s="30">
        <v>2.019</v>
      </c>
      <c r="D22" s="30">
        <v>42.505</v>
      </c>
      <c r="E22" s="30">
        <v>43.695</v>
      </c>
      <c r="F22" s="30">
        <f t="shared" si="6"/>
        <v>1.19</v>
      </c>
      <c r="G22" s="30">
        <f t="shared" si="7"/>
        <v>0.408881113170893</v>
      </c>
      <c r="H22" s="30">
        <f t="shared" si="8"/>
        <v>0.00290872307771195</v>
      </c>
      <c r="I22" s="82">
        <f t="shared" si="9"/>
        <v>0.405972390093182</v>
      </c>
      <c r="J22" s="61">
        <f t="shared" si="10"/>
        <v>0.00811944780186363</v>
      </c>
      <c r="K22" s="30"/>
      <c r="L22" s="30"/>
      <c r="M22" s="30"/>
    </row>
    <row r="23" spans="1:13">
      <c r="A23" s="61"/>
      <c r="B23" s="61">
        <v>2</v>
      </c>
      <c r="C23" s="30">
        <v>2.03</v>
      </c>
      <c r="D23" s="30">
        <v>45.437</v>
      </c>
      <c r="E23" s="30">
        <v>46.645</v>
      </c>
      <c r="F23" s="30">
        <f t="shared" si="6"/>
        <v>1.20800000000001</v>
      </c>
      <c r="G23" s="30">
        <f t="shared" si="7"/>
        <v>0.40306366701547</v>
      </c>
      <c r="H23" s="30">
        <f t="shared" si="11"/>
        <v>-0.00290872307771195</v>
      </c>
      <c r="I23" s="82"/>
      <c r="J23" s="61"/>
      <c r="K23" s="30"/>
      <c r="L23" s="30"/>
      <c r="M23" s="30"/>
    </row>
    <row r="24" spans="1:13">
      <c r="A24" s="72" t="s">
        <v>39</v>
      </c>
      <c r="B24" s="61">
        <v>1</v>
      </c>
      <c r="C24" s="30">
        <v>2.023</v>
      </c>
      <c r="D24" s="30">
        <v>43.345</v>
      </c>
      <c r="E24" s="30">
        <v>44.543</v>
      </c>
      <c r="F24" s="30">
        <f t="shared" si="6"/>
        <v>1.198</v>
      </c>
      <c r="G24" s="73">
        <f t="shared" si="7"/>
        <v>0.406388929382245</v>
      </c>
      <c r="H24" s="74">
        <f>G24-I24</f>
        <v>-0.00801026263479859</v>
      </c>
      <c r="I24" s="82">
        <f>(G24+G25)/2</f>
        <v>0.414399192017044</v>
      </c>
      <c r="J24" s="61">
        <f>I24*0.02</f>
        <v>0.00828798384034088</v>
      </c>
      <c r="K24" s="30" t="s">
        <v>47</v>
      </c>
      <c r="L24" s="30"/>
      <c r="M24" s="30"/>
    </row>
    <row r="25" spans="1:13">
      <c r="A25" s="72"/>
      <c r="B25" s="61">
        <v>2</v>
      </c>
      <c r="C25" s="30">
        <v>2.017</v>
      </c>
      <c r="D25" s="30">
        <v>42.56</v>
      </c>
      <c r="E25" s="73">
        <v>43.722</v>
      </c>
      <c r="F25" s="30">
        <f t="shared" si="6"/>
        <v>1.162</v>
      </c>
      <c r="G25" s="73">
        <f t="shared" si="7"/>
        <v>0.422409454651842</v>
      </c>
      <c r="H25" s="30">
        <f>G25-I24</f>
        <v>0.00801026263479859</v>
      </c>
      <c r="I25" s="82"/>
      <c r="J25" s="61"/>
      <c r="K25" s="30" t="s">
        <v>47</v>
      </c>
      <c r="L25" s="30"/>
      <c r="M25" s="30"/>
    </row>
    <row r="26" spans="1:13">
      <c r="A26" s="61" t="s">
        <v>40</v>
      </c>
      <c r="B26" s="61">
        <v>1</v>
      </c>
      <c r="C26" s="30">
        <v>2.0246</v>
      </c>
      <c r="D26" s="30">
        <v>47.764</v>
      </c>
      <c r="E26" s="30">
        <v>49.06</v>
      </c>
      <c r="F26" s="30">
        <f t="shared" si="6"/>
        <v>1.296</v>
      </c>
      <c r="G26" s="30">
        <f t="shared" si="7"/>
        <v>0.358259598986147</v>
      </c>
      <c r="H26" s="30">
        <f>G26-I26</f>
        <v>-0.00511939398239314</v>
      </c>
      <c r="I26" s="82">
        <f>(G26+G27)/2</f>
        <v>0.36337899296854</v>
      </c>
      <c r="J26" s="61">
        <f>I26*0.02</f>
        <v>0.00726757985937079</v>
      </c>
      <c r="K26" s="30"/>
      <c r="L26" s="30"/>
      <c r="M26" s="30"/>
    </row>
    <row r="27" spans="1:13">
      <c r="A27" s="61"/>
      <c r="B27" s="61">
        <v>2</v>
      </c>
      <c r="C27" s="30">
        <v>2.034</v>
      </c>
      <c r="D27" s="30">
        <v>39.604</v>
      </c>
      <c r="E27" s="30">
        <v>40.885</v>
      </c>
      <c r="F27" s="30">
        <f t="shared" si="6"/>
        <v>1.281</v>
      </c>
      <c r="G27" s="30">
        <f t="shared" si="7"/>
        <v>0.368498386950933</v>
      </c>
      <c r="H27" s="30">
        <f>G27-I26</f>
        <v>0.00511939398239314</v>
      </c>
      <c r="I27" s="82"/>
      <c r="J27" s="61"/>
      <c r="K27" s="30"/>
      <c r="L27" s="30"/>
      <c r="M27" s="30"/>
    </row>
    <row r="28" spans="1:13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</row>
    <row r="29" spans="1:1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</row>
    <row r="30" spans="1:1">
      <c r="A30" s="75" t="s">
        <v>48</v>
      </c>
    </row>
    <row r="31" spans="2:3">
      <c r="B31" s="76" t="s">
        <v>49</v>
      </c>
      <c r="C31" s="76" t="s">
        <v>50</v>
      </c>
    </row>
    <row r="32" spans="1:10">
      <c r="A32">
        <v>1</v>
      </c>
      <c r="B32" s="77" t="s">
        <v>51</v>
      </c>
      <c r="C32" s="77" t="s">
        <v>52</v>
      </c>
      <c r="E32">
        <v>2</v>
      </c>
      <c r="F32"/>
      <c r="G32"/>
      <c r="I32" s="77" t="s">
        <v>52</v>
      </c>
      <c r="J32" s="77" t="s">
        <v>51</v>
      </c>
    </row>
    <row r="33" spans="2:10">
      <c r="B33" s="76">
        <v>0</v>
      </c>
      <c r="C33" s="76">
        <v>0</v>
      </c>
      <c r="I33" s="76">
        <v>0</v>
      </c>
      <c r="J33" s="76">
        <v>0</v>
      </c>
    </row>
    <row r="34" spans="2:10">
      <c r="B34" s="76">
        <v>0.034</v>
      </c>
      <c r="C34" s="76">
        <v>0.05</v>
      </c>
      <c r="I34" s="76">
        <v>0.05</v>
      </c>
      <c r="J34" s="76">
        <v>0.034</v>
      </c>
    </row>
    <row r="35" spans="2:10">
      <c r="B35" s="76">
        <v>0.071</v>
      </c>
      <c r="C35" s="76">
        <v>0.1</v>
      </c>
      <c r="I35" s="76">
        <v>0.1</v>
      </c>
      <c r="J35" s="76">
        <v>0.071</v>
      </c>
    </row>
    <row r="36" spans="2:10">
      <c r="B36" s="76">
        <v>0.104</v>
      </c>
      <c r="C36" s="76">
        <v>0.15</v>
      </c>
      <c r="I36" s="76">
        <v>0.15</v>
      </c>
      <c r="J36" s="76">
        <v>0.104</v>
      </c>
    </row>
    <row r="37" spans="2:10">
      <c r="B37" s="76">
        <v>0.166</v>
      </c>
      <c r="C37" s="76">
        <v>0.2</v>
      </c>
      <c r="I37" s="76">
        <v>0.2</v>
      </c>
      <c r="J37" s="76">
        <v>0.156</v>
      </c>
    </row>
    <row r="38" spans="2:10">
      <c r="B38" s="78">
        <v>0.2</v>
      </c>
      <c r="C38" s="76">
        <v>0.25</v>
      </c>
      <c r="I38" s="76">
        <v>0.25</v>
      </c>
      <c r="J38" s="78">
        <v>0.2</v>
      </c>
    </row>
    <row r="39" spans="2:10">
      <c r="B39" s="78">
        <v>0.22</v>
      </c>
      <c r="C39" s="76">
        <v>0.3</v>
      </c>
      <c r="I39" s="76">
        <v>0.3</v>
      </c>
      <c r="J39" s="78">
        <v>0.22</v>
      </c>
    </row>
    <row r="40" spans="4:8">
      <c r="D40" t="s">
        <v>51</v>
      </c>
      <c r="E40" s="30" t="s">
        <v>2</v>
      </c>
      <c r="F40" s="30" t="s">
        <v>53</v>
      </c>
      <c r="G40" s="30" t="s">
        <v>54</v>
      </c>
      <c r="H40" s="30" t="s">
        <v>55</v>
      </c>
    </row>
    <row r="41" spans="2:8">
      <c r="B41" t="s">
        <v>56</v>
      </c>
      <c r="C41">
        <v>1</v>
      </c>
      <c r="D41">
        <v>0.077</v>
      </c>
      <c r="E41">
        <f>(D41+0.0033)/0.7693</f>
        <v>0.104380605745483</v>
      </c>
      <c r="F41">
        <v>3.005</v>
      </c>
      <c r="G41">
        <f>(E41*10)/(50*F41*0.996)</f>
        <v>0.00697502861666185</v>
      </c>
      <c r="H41" s="79">
        <f>(G41+G42)/2</f>
        <v>0.00749873757948592</v>
      </c>
    </row>
    <row r="42" spans="3:8">
      <c r="C42">
        <v>2</v>
      </c>
      <c r="D42">
        <v>0.089</v>
      </c>
      <c r="E42">
        <f t="shared" ref="E42:E50" si="12">(D42+0.0033)/0.7693</f>
        <v>0.119979201871832</v>
      </c>
      <c r="F42">
        <v>3.0031</v>
      </c>
      <c r="G42">
        <f>(E42*10)/(50*F42*0.996)</f>
        <v>0.00802244654231</v>
      </c>
      <c r="H42" s="79"/>
    </row>
    <row r="43" spans="2:8">
      <c r="B43" t="s">
        <v>57</v>
      </c>
      <c r="C43">
        <v>1</v>
      </c>
      <c r="D43">
        <v>0.093</v>
      </c>
      <c r="E43">
        <f t="shared" si="12"/>
        <v>0.125178733913948</v>
      </c>
      <c r="F43">
        <v>3.0041</v>
      </c>
      <c r="G43">
        <f>(E43*10)/(50*F43*0.997)</f>
        <v>0.00835893612824411</v>
      </c>
      <c r="H43" s="79">
        <f t="shared" ref="H43" si="13">(G43+G44)/2</f>
        <v>0.00960851454087211</v>
      </c>
    </row>
    <row r="44" spans="3:8">
      <c r="C44">
        <v>2</v>
      </c>
      <c r="D44">
        <v>0.122</v>
      </c>
      <c r="E44">
        <f t="shared" si="12"/>
        <v>0.16287534121929</v>
      </c>
      <c r="F44">
        <v>3.0091</v>
      </c>
      <c r="G44">
        <f t="shared" ref="G44:G50" si="14">(E44*10)/(50*F44*0.997)</f>
        <v>0.0108580929535001</v>
      </c>
      <c r="H44" s="79"/>
    </row>
    <row r="45" spans="2:8">
      <c r="B45" t="s">
        <v>58</v>
      </c>
      <c r="C45">
        <v>1</v>
      </c>
      <c r="D45">
        <v>0.102</v>
      </c>
      <c r="E45">
        <f t="shared" si="12"/>
        <v>0.136877681008709</v>
      </c>
      <c r="F45">
        <v>3.008</v>
      </c>
      <c r="G45">
        <f t="shared" si="14"/>
        <v>0.00912829452511185</v>
      </c>
      <c r="H45" s="79">
        <f t="shared" ref="H45" si="15">(G45+G46)/2</f>
        <v>0.0107402438745719</v>
      </c>
    </row>
    <row r="46" spans="3:8">
      <c r="C46">
        <v>2</v>
      </c>
      <c r="D46">
        <v>0.139</v>
      </c>
      <c r="E46">
        <f t="shared" si="12"/>
        <v>0.184973352398284</v>
      </c>
      <c r="F46">
        <v>3.004</v>
      </c>
      <c r="G46">
        <f t="shared" si="14"/>
        <v>0.0123521932240319</v>
      </c>
      <c r="H46" s="79"/>
    </row>
    <row r="47" spans="2:8">
      <c r="B47" t="s">
        <v>59</v>
      </c>
      <c r="C47">
        <v>1</v>
      </c>
      <c r="D47">
        <v>0.075</v>
      </c>
      <c r="E47">
        <f t="shared" si="12"/>
        <v>0.101780839724425</v>
      </c>
      <c r="F47">
        <v>3.063</v>
      </c>
      <c r="G47">
        <f>(E47*10)/(50*F47*0.998)</f>
        <v>0.006659145239511</v>
      </c>
      <c r="H47" s="79">
        <f t="shared" ref="H47" si="16">(G47+G48)/2</f>
        <v>0.00676550512028491</v>
      </c>
    </row>
    <row r="48" spans="3:8">
      <c r="C48">
        <v>2</v>
      </c>
      <c r="D48">
        <v>0.077</v>
      </c>
      <c r="E48">
        <f t="shared" si="12"/>
        <v>0.104380605745483</v>
      </c>
      <c r="F48">
        <v>3.044</v>
      </c>
      <c r="G48">
        <f>(E48*10)/(50*F48*0.998)</f>
        <v>0.00687186500105881</v>
      </c>
      <c r="H48" s="79"/>
    </row>
    <row r="49" spans="2:8">
      <c r="B49" t="s">
        <v>60</v>
      </c>
      <c r="C49">
        <v>1</v>
      </c>
      <c r="D49">
        <v>0.093</v>
      </c>
      <c r="E49">
        <f t="shared" si="12"/>
        <v>0.125178733913948</v>
      </c>
      <c r="F49">
        <v>3.023</v>
      </c>
      <c r="G49">
        <f t="shared" si="14"/>
        <v>0.00830667549548731</v>
      </c>
      <c r="H49" s="79">
        <f t="shared" ref="H49" si="17">(G49+G50)/2</f>
        <v>0.007902390796851</v>
      </c>
    </row>
    <row r="50" spans="3:8">
      <c r="C50">
        <v>2</v>
      </c>
      <c r="D50">
        <v>0.084</v>
      </c>
      <c r="E50">
        <f t="shared" si="12"/>
        <v>0.113479786819186</v>
      </c>
      <c r="F50">
        <v>3.036</v>
      </c>
      <c r="G50">
        <f t="shared" si="14"/>
        <v>0.00749810609821469</v>
      </c>
      <c r="H50" s="79"/>
    </row>
    <row r="51" spans="1:1">
      <c r="A51" s="80" t="s">
        <v>61</v>
      </c>
    </row>
    <row r="52" spans="2:3">
      <c r="B52" s="76" t="s">
        <v>49</v>
      </c>
      <c r="C52" s="76"/>
    </row>
    <row r="53" spans="3:4">
      <c r="C53" s="76" t="s">
        <v>62</v>
      </c>
      <c r="D53" s="76" t="s">
        <v>51</v>
      </c>
    </row>
    <row r="54" spans="3:4">
      <c r="C54" s="76">
        <v>0</v>
      </c>
      <c r="D54" s="76">
        <v>0</v>
      </c>
    </row>
    <row r="55" spans="3:4">
      <c r="C55" s="76">
        <v>10</v>
      </c>
      <c r="D55" s="76">
        <v>0.082</v>
      </c>
    </row>
    <row r="56" spans="3:4">
      <c r="C56" s="76">
        <v>20</v>
      </c>
      <c r="D56" s="76">
        <v>0.131</v>
      </c>
    </row>
    <row r="57" spans="3:4">
      <c r="C57" s="76">
        <v>30</v>
      </c>
      <c r="D57" s="76">
        <v>0.179</v>
      </c>
    </row>
    <row r="58" spans="3:4">
      <c r="C58" s="76">
        <v>40</v>
      </c>
      <c r="D58" s="76">
        <v>0.243</v>
      </c>
    </row>
    <row r="59" spans="3:4">
      <c r="C59" s="76">
        <v>50</v>
      </c>
      <c r="D59" s="76">
        <v>0.284</v>
      </c>
    </row>
    <row r="60" spans="11:11">
      <c r="K60" s="44"/>
    </row>
    <row r="61" spans="4:11">
      <c r="D61" s="63" t="s">
        <v>51</v>
      </c>
      <c r="E61" s="30" t="s">
        <v>63</v>
      </c>
      <c r="F61" s="30" t="s">
        <v>64</v>
      </c>
      <c r="H61" s="61" t="s">
        <v>53</v>
      </c>
      <c r="I61" s="30" t="s">
        <v>65</v>
      </c>
      <c r="J61" s="30" t="s">
        <v>66</v>
      </c>
      <c r="K61" s="44" t="s">
        <v>67</v>
      </c>
    </row>
    <row r="62" spans="2:11">
      <c r="B62" t="s">
        <v>56</v>
      </c>
      <c r="C62">
        <v>1</v>
      </c>
      <c r="D62">
        <v>0.159</v>
      </c>
      <c r="E62">
        <f>(D62-0.0138)/0.0056</f>
        <v>25.9285714285714</v>
      </c>
      <c r="F62">
        <f>E62/1000</f>
        <v>0.0259285714285714</v>
      </c>
      <c r="H62">
        <v>0.2023</v>
      </c>
      <c r="I62">
        <f>H62*1000</f>
        <v>202.3</v>
      </c>
      <c r="J62" s="84">
        <f>F62/I62*100%</f>
        <v>0.000128168914624673</v>
      </c>
      <c r="K62" s="85">
        <f>(J62+J63)/2</f>
        <v>0.000134456594716917</v>
      </c>
    </row>
    <row r="63" spans="3:11">
      <c r="C63">
        <v>2</v>
      </c>
      <c r="D63">
        <v>0.179</v>
      </c>
      <c r="E63">
        <f t="shared" ref="E63:E71" si="18">(D63-0.0138)/0.0056</f>
        <v>29.5</v>
      </c>
      <c r="F63">
        <f t="shared" ref="F63:F71" si="19">E63/1000</f>
        <v>0.0295</v>
      </c>
      <c r="H63">
        <v>0.2096</v>
      </c>
      <c r="I63">
        <f t="shared" ref="I63:I71" si="20">H63*1000</f>
        <v>209.6</v>
      </c>
      <c r="J63" s="84">
        <f t="shared" ref="J63:J71" si="21">F63/I63*100%</f>
        <v>0.00014074427480916</v>
      </c>
      <c r="K63" s="85"/>
    </row>
    <row r="64" spans="2:11">
      <c r="B64" t="s">
        <v>57</v>
      </c>
      <c r="C64">
        <v>1</v>
      </c>
      <c r="D64">
        <v>0.168</v>
      </c>
      <c r="E64">
        <f t="shared" si="18"/>
        <v>27.5357142857143</v>
      </c>
      <c r="F64">
        <f t="shared" si="19"/>
        <v>0.0275357142857143</v>
      </c>
      <c r="H64">
        <v>0.2038</v>
      </c>
      <c r="I64">
        <f t="shared" si="20"/>
        <v>203.8</v>
      </c>
      <c r="J64" s="84">
        <f t="shared" si="21"/>
        <v>0.000135111453806253</v>
      </c>
      <c r="K64" s="85">
        <f t="shared" ref="K64" si="22">(J64+J65)/2</f>
        <v>0.000134422444449786</v>
      </c>
    </row>
    <row r="65" spans="3:11">
      <c r="C65">
        <v>2</v>
      </c>
      <c r="D65">
        <v>0.168</v>
      </c>
      <c r="E65">
        <f t="shared" si="18"/>
        <v>27.5357142857143</v>
      </c>
      <c r="F65">
        <f t="shared" si="19"/>
        <v>0.0275357142857143</v>
      </c>
      <c r="H65">
        <v>0.2059</v>
      </c>
      <c r="I65">
        <f t="shared" si="20"/>
        <v>205.9</v>
      </c>
      <c r="J65" s="84">
        <f t="shared" si="21"/>
        <v>0.000133733435093319</v>
      </c>
      <c r="K65" s="85"/>
    </row>
    <row r="66" spans="2:11">
      <c r="B66" t="s">
        <v>58</v>
      </c>
      <c r="C66">
        <v>1</v>
      </c>
      <c r="D66">
        <v>0.153</v>
      </c>
      <c r="E66">
        <f t="shared" si="18"/>
        <v>24.8571428571429</v>
      </c>
      <c r="F66">
        <f t="shared" si="19"/>
        <v>0.0248571428571429</v>
      </c>
      <c r="H66">
        <v>0.2091</v>
      </c>
      <c r="I66">
        <f t="shared" si="20"/>
        <v>209.1</v>
      </c>
      <c r="J66" s="84">
        <f t="shared" si="21"/>
        <v>0.000118876819020291</v>
      </c>
      <c r="K66" s="85">
        <f t="shared" ref="K66" si="23">(J66+J67)/2</f>
        <v>0.000127461419109242</v>
      </c>
    </row>
    <row r="67" spans="3:11">
      <c r="C67">
        <v>2</v>
      </c>
      <c r="D67">
        <v>0.168</v>
      </c>
      <c r="E67">
        <f t="shared" si="18"/>
        <v>27.5357142857143</v>
      </c>
      <c r="F67">
        <f t="shared" si="19"/>
        <v>0.0275357142857143</v>
      </c>
      <c r="H67" s="49">
        <v>0.2024</v>
      </c>
      <c r="I67">
        <f t="shared" si="20"/>
        <v>202.4</v>
      </c>
      <c r="J67" s="84">
        <f t="shared" si="21"/>
        <v>0.000136046019198193</v>
      </c>
      <c r="K67" s="85"/>
    </row>
    <row r="68" spans="2:11">
      <c r="B68" t="s">
        <v>59</v>
      </c>
      <c r="C68">
        <v>1</v>
      </c>
      <c r="D68">
        <v>0.165</v>
      </c>
      <c r="E68">
        <f t="shared" si="18"/>
        <v>27</v>
      </c>
      <c r="F68">
        <f t="shared" si="19"/>
        <v>0.027</v>
      </c>
      <c r="H68" s="49">
        <v>0.204</v>
      </c>
      <c r="I68">
        <f t="shared" si="20"/>
        <v>204</v>
      </c>
      <c r="J68" s="84">
        <f t="shared" si="21"/>
        <v>0.000132352941176471</v>
      </c>
      <c r="K68" s="85">
        <f t="shared" ref="K68" si="24">(J68+J69)/2</f>
        <v>0.000130448117208479</v>
      </c>
    </row>
    <row r="69" spans="3:11">
      <c r="C69">
        <v>2</v>
      </c>
      <c r="D69">
        <v>0.16</v>
      </c>
      <c r="E69">
        <f t="shared" si="18"/>
        <v>26.1071428571429</v>
      </c>
      <c r="F69">
        <f t="shared" si="19"/>
        <v>0.0261071428571429</v>
      </c>
      <c r="H69">
        <v>0.2031</v>
      </c>
      <c r="I69">
        <f t="shared" si="20"/>
        <v>203.1</v>
      </c>
      <c r="J69" s="84">
        <f t="shared" si="21"/>
        <v>0.000128543293240487</v>
      </c>
      <c r="K69" s="85"/>
    </row>
    <row r="70" spans="2:11">
      <c r="B70" t="s">
        <v>60</v>
      </c>
      <c r="C70">
        <v>1</v>
      </c>
      <c r="D70">
        <v>0.133</v>
      </c>
      <c r="E70">
        <f t="shared" si="18"/>
        <v>21.2857142857143</v>
      </c>
      <c r="F70">
        <f t="shared" si="19"/>
        <v>0.0212857142857143</v>
      </c>
      <c r="H70">
        <v>0.2033</v>
      </c>
      <c r="I70">
        <f t="shared" si="20"/>
        <v>203.3</v>
      </c>
      <c r="J70" s="84">
        <f t="shared" si="21"/>
        <v>0.00010470100484857</v>
      </c>
      <c r="K70" s="85">
        <f t="shared" ref="K70" si="25">(J70+J71)/2</f>
        <v>0.000100974386885079</v>
      </c>
    </row>
    <row r="71" spans="3:11">
      <c r="C71">
        <v>2</v>
      </c>
      <c r="D71">
        <v>0.128</v>
      </c>
      <c r="E71">
        <f t="shared" si="18"/>
        <v>20.3928571428571</v>
      </c>
      <c r="F71">
        <f t="shared" si="19"/>
        <v>0.0203928571428571</v>
      </c>
      <c r="H71">
        <v>0.2097</v>
      </c>
      <c r="I71">
        <f t="shared" si="20"/>
        <v>209.7</v>
      </c>
      <c r="J71" s="84">
        <f t="shared" si="21"/>
        <v>9.72477689215887e-5</v>
      </c>
      <c r="K71" s="85"/>
    </row>
    <row r="73" spans="1:1">
      <c r="A73" s="80" t="s">
        <v>68</v>
      </c>
    </row>
    <row r="74" spans="2:2">
      <c r="B74" t="s">
        <v>49</v>
      </c>
    </row>
    <row r="75" spans="3:4">
      <c r="C75" s="76" t="s">
        <v>69</v>
      </c>
      <c r="D75" s="76" t="s">
        <v>51</v>
      </c>
    </row>
    <row r="76" spans="3:4">
      <c r="C76" s="76">
        <v>0</v>
      </c>
      <c r="D76" s="76">
        <v>0</v>
      </c>
    </row>
    <row r="77" spans="3:4">
      <c r="C77" s="76">
        <v>0.2</v>
      </c>
      <c r="D77" s="76">
        <v>0.332</v>
      </c>
    </row>
    <row r="78" spans="3:4">
      <c r="C78" s="76">
        <v>0.3</v>
      </c>
      <c r="D78" s="76">
        <v>0.514</v>
      </c>
    </row>
    <row r="79" spans="3:4">
      <c r="C79" s="76">
        <v>0.4</v>
      </c>
      <c r="D79" s="76">
        <v>0.732</v>
      </c>
    </row>
    <row r="80" spans="3:4">
      <c r="C80" s="76">
        <v>0.5</v>
      </c>
      <c r="D80" s="76">
        <v>0.945</v>
      </c>
    </row>
    <row r="81" spans="3:4">
      <c r="C81" s="76">
        <v>0.6</v>
      </c>
      <c r="D81" s="76">
        <v>1.178</v>
      </c>
    </row>
    <row r="84" spans="4:8">
      <c r="D84" t="s">
        <v>51</v>
      </c>
      <c r="E84" s="30" t="s">
        <v>70</v>
      </c>
      <c r="F84" t="s">
        <v>71</v>
      </c>
      <c r="G84" s="30" t="s">
        <v>72</v>
      </c>
      <c r="H84" s="30" t="s">
        <v>55</v>
      </c>
    </row>
    <row r="85" spans="2:8">
      <c r="B85" t="s">
        <v>56</v>
      </c>
      <c r="C85">
        <v>1</v>
      </c>
      <c r="D85">
        <v>0.164</v>
      </c>
      <c r="E85">
        <f>(D85+0.0389)/1.9673</f>
        <v>0.103136278147715</v>
      </c>
      <c r="F85">
        <v>3.009</v>
      </c>
      <c r="G85">
        <f>(E85/2)/F85*0.996</f>
        <v>0.0170694139307285</v>
      </c>
      <c r="H85" s="79">
        <f>(G85+G86)/2</f>
        <v>0.0169148060364261</v>
      </c>
    </row>
    <row r="86" spans="3:8">
      <c r="C86">
        <v>2</v>
      </c>
      <c r="D86">
        <v>0.16</v>
      </c>
      <c r="E86">
        <f t="shared" ref="E86:E94" si="26">(D86+0.0389)/1.9673</f>
        <v>0.101103034615971</v>
      </c>
      <c r="F86">
        <v>3.0041</v>
      </c>
      <c r="G86">
        <f>(E86/2)/F86*0.996</f>
        <v>0.0167601981421236</v>
      </c>
      <c r="H86" s="79"/>
    </row>
    <row r="87" spans="2:8">
      <c r="B87" t="s">
        <v>57</v>
      </c>
      <c r="C87">
        <v>1</v>
      </c>
      <c r="D87">
        <v>0.093</v>
      </c>
      <c r="E87">
        <f t="shared" si="26"/>
        <v>0.0670462054592589</v>
      </c>
      <c r="F87">
        <v>3.0115</v>
      </c>
      <c r="G87">
        <f>(E87/2)/F87*0.997</f>
        <v>0.0110983009866978</v>
      </c>
      <c r="H87" s="79">
        <f t="shared" ref="H87" si="27">(G87+G88)/2</f>
        <v>0.0110659392043956</v>
      </c>
    </row>
    <row r="88" spans="3:8">
      <c r="C88">
        <v>2</v>
      </c>
      <c r="D88">
        <v>0.092</v>
      </c>
      <c r="E88">
        <f t="shared" si="26"/>
        <v>0.0665378945763229</v>
      </c>
      <c r="F88">
        <v>3.0062</v>
      </c>
      <c r="G88">
        <f t="shared" ref="G88:G90" si="28">(E88/2)/F88*0.997</f>
        <v>0.0110335774220933</v>
      </c>
      <c r="H88" s="79"/>
    </row>
    <row r="89" spans="2:8">
      <c r="B89" t="s">
        <v>58</v>
      </c>
      <c r="C89">
        <v>1</v>
      </c>
      <c r="D89">
        <v>0.127</v>
      </c>
      <c r="E89">
        <f t="shared" si="26"/>
        <v>0.084328775479083</v>
      </c>
      <c r="F89">
        <v>3.0069</v>
      </c>
      <c r="G89">
        <f t="shared" si="28"/>
        <v>0.0139804764296528</v>
      </c>
      <c r="H89" s="79">
        <f t="shared" ref="H89" si="29">(G89+G90)/2</f>
        <v>0.0142795443179689</v>
      </c>
    </row>
    <row r="90" spans="3:8">
      <c r="C90">
        <v>2</v>
      </c>
      <c r="D90">
        <v>0.134</v>
      </c>
      <c r="E90">
        <f t="shared" si="26"/>
        <v>0.087886951659635</v>
      </c>
      <c r="F90">
        <v>3.0052</v>
      </c>
      <c r="G90">
        <f t="shared" si="28"/>
        <v>0.0145786122062851</v>
      </c>
      <c r="H90" s="79"/>
    </row>
    <row r="91" spans="2:8">
      <c r="B91" t="s">
        <v>59</v>
      </c>
      <c r="C91">
        <v>1</v>
      </c>
      <c r="D91">
        <v>0.133</v>
      </c>
      <c r="E91">
        <f t="shared" si="26"/>
        <v>0.087378640776699</v>
      </c>
      <c r="F91" s="49">
        <v>3.005</v>
      </c>
      <c r="G91">
        <f>(E91/2)/F91*0.998</f>
        <v>0.0145097975865467</v>
      </c>
      <c r="H91" s="79">
        <f t="shared" ref="H91" si="30">(G91+G92)/2</f>
        <v>0.0151402362361125</v>
      </c>
    </row>
    <row r="92" spans="3:8">
      <c r="C92">
        <v>2</v>
      </c>
      <c r="D92">
        <v>0.148</v>
      </c>
      <c r="E92">
        <f t="shared" si="26"/>
        <v>0.0950033040207391</v>
      </c>
      <c r="F92" s="49">
        <v>3.006</v>
      </c>
      <c r="G92">
        <f>(E92/2)/F92*0.998</f>
        <v>0.0157706748856782</v>
      </c>
      <c r="H92" s="79"/>
    </row>
    <row r="93" spans="2:8">
      <c r="B93" t="s">
        <v>60</v>
      </c>
      <c r="C93">
        <v>1</v>
      </c>
      <c r="D93">
        <v>0.073</v>
      </c>
      <c r="E93">
        <f t="shared" si="26"/>
        <v>0.0568799878005388</v>
      </c>
      <c r="F93">
        <v>3.0071</v>
      </c>
      <c r="G93">
        <f>(E93/2)/F93*0.997</f>
        <v>0.00942924209988647</v>
      </c>
      <c r="H93" s="79">
        <f t="shared" ref="H93" si="31">(G93+G94)/2</f>
        <v>0.00942986931524549</v>
      </c>
    </row>
    <row r="94" spans="3:8">
      <c r="C94">
        <v>2</v>
      </c>
      <c r="D94">
        <v>0.073</v>
      </c>
      <c r="E94">
        <f t="shared" si="26"/>
        <v>0.0568799878005388</v>
      </c>
      <c r="F94">
        <v>3.0067</v>
      </c>
      <c r="G94">
        <f>(E94/2)/F94*0.997</f>
        <v>0.00943049653060452</v>
      </c>
      <c r="H94" s="79"/>
    </row>
  </sheetData>
  <mergeCells count="45">
    <mergeCell ref="A4:A5"/>
    <mergeCell ref="A6:A7"/>
    <mergeCell ref="A8:A9"/>
    <mergeCell ref="A10:A11"/>
    <mergeCell ref="A12:A13"/>
    <mergeCell ref="A18:A19"/>
    <mergeCell ref="A20:A21"/>
    <mergeCell ref="A22:A23"/>
    <mergeCell ref="A24:A25"/>
    <mergeCell ref="A26:A27"/>
    <mergeCell ref="H41:H42"/>
    <mergeCell ref="H43:H44"/>
    <mergeCell ref="H45:H46"/>
    <mergeCell ref="H47:H48"/>
    <mergeCell ref="H49:H50"/>
    <mergeCell ref="H85:H86"/>
    <mergeCell ref="H87:H88"/>
    <mergeCell ref="H89:H90"/>
    <mergeCell ref="H91:H92"/>
    <mergeCell ref="H93:H94"/>
    <mergeCell ref="I18:I19"/>
    <mergeCell ref="I20:I21"/>
    <mergeCell ref="I22:I23"/>
    <mergeCell ref="I24:I25"/>
    <mergeCell ref="I26:I27"/>
    <mergeCell ref="J4:J5"/>
    <mergeCell ref="J6:J7"/>
    <mergeCell ref="J8:J9"/>
    <mergeCell ref="J10:J11"/>
    <mergeCell ref="J12:J13"/>
    <mergeCell ref="J18:J19"/>
    <mergeCell ref="J20:J21"/>
    <mergeCell ref="J22:J23"/>
    <mergeCell ref="J24:J25"/>
    <mergeCell ref="J26:J27"/>
    <mergeCell ref="K4:K5"/>
    <mergeCell ref="K6:K7"/>
    <mergeCell ref="K8:K9"/>
    <mergeCell ref="K10:K11"/>
    <mergeCell ref="K12:K13"/>
    <mergeCell ref="K62:K63"/>
    <mergeCell ref="K64:K65"/>
    <mergeCell ref="K66:K67"/>
    <mergeCell ref="K68:K69"/>
    <mergeCell ref="K70:K71"/>
  </mergeCells>
  <pageMargins left="0.75" right="0.75" top="1" bottom="1" header="0.5" footer="0.5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zoomScale="80" zoomScaleNormal="80" workbookViewId="0">
      <selection activeCell="D18" sqref="D18"/>
    </sheetView>
  </sheetViews>
  <sheetFormatPr defaultColWidth="9" defaultRowHeight="14.25"/>
  <cols>
    <col min="2" max="2" width="7.08333333333333" customWidth="1"/>
    <col min="3" max="3" width="13.75" customWidth="1"/>
    <col min="4" max="4" width="12.3333333333333" customWidth="1"/>
    <col min="5" max="5" width="22.5833333333333" customWidth="1"/>
    <col min="6" max="6" width="23.3333333333333" customWidth="1"/>
    <col min="14" max="14" width="11.75" customWidth="1"/>
    <col min="15" max="15" width="12" customWidth="1"/>
    <col min="30" max="30" width="11.9166666666667" customWidth="1"/>
  </cols>
  <sheetData>
    <row r="1" spans="1:12">
      <c r="A1" t="s">
        <v>73</v>
      </c>
      <c r="C1" s="62" t="s">
        <v>74</v>
      </c>
      <c r="D1" s="62" t="s">
        <v>75</v>
      </c>
      <c r="E1" s="63"/>
      <c r="F1" s="63"/>
      <c r="K1" s="62" t="s">
        <v>74</v>
      </c>
      <c r="L1" s="62" t="s">
        <v>75</v>
      </c>
    </row>
    <row r="2" spans="3:12">
      <c r="C2" s="63">
        <v>0</v>
      </c>
      <c r="D2" s="63">
        <v>0</v>
      </c>
      <c r="E2" s="63"/>
      <c r="F2" s="63"/>
      <c r="K2" s="63">
        <v>0</v>
      </c>
      <c r="L2" s="63">
        <v>0</v>
      </c>
    </row>
    <row r="3" spans="3:12">
      <c r="C3" s="63">
        <v>0.05</v>
      </c>
      <c r="D3" s="63">
        <v>0.275</v>
      </c>
      <c r="E3" s="63"/>
      <c r="F3" s="63"/>
      <c r="K3" s="63">
        <v>0.1</v>
      </c>
      <c r="L3" s="63">
        <v>0.275</v>
      </c>
    </row>
    <row r="4" spans="3:12">
      <c r="C4" s="63">
        <v>0.1</v>
      </c>
      <c r="D4" s="63">
        <v>0.383</v>
      </c>
      <c r="E4" s="63"/>
      <c r="F4" s="63"/>
      <c r="K4" s="63">
        <v>0.2</v>
      </c>
      <c r="L4" s="63">
        <v>0.383</v>
      </c>
    </row>
    <row r="5" spans="3:12">
      <c r="C5" s="63">
        <v>0.15</v>
      </c>
      <c r="D5" s="63">
        <v>0.5</v>
      </c>
      <c r="E5" s="63"/>
      <c r="F5" s="63"/>
      <c r="K5" s="63">
        <v>0.3</v>
      </c>
      <c r="L5" s="63">
        <v>0.5</v>
      </c>
    </row>
    <row r="6" spans="3:12">
      <c r="C6" s="63">
        <v>0.2</v>
      </c>
      <c r="D6" s="63">
        <v>0.734</v>
      </c>
      <c r="E6" s="63"/>
      <c r="F6" s="63"/>
      <c r="K6" s="63">
        <v>0.4</v>
      </c>
      <c r="L6" s="63">
        <v>0.734</v>
      </c>
    </row>
    <row r="7" spans="3:12">
      <c r="C7" s="63">
        <v>0.25</v>
      </c>
      <c r="D7" s="63">
        <v>0.898</v>
      </c>
      <c r="E7" s="63"/>
      <c r="F7" s="63"/>
      <c r="K7" s="63">
        <v>0.5</v>
      </c>
      <c r="L7" s="63">
        <v>0.898</v>
      </c>
    </row>
    <row r="8" spans="3:6">
      <c r="C8" s="63"/>
      <c r="D8" s="63"/>
      <c r="E8" s="63"/>
      <c r="F8" s="63"/>
    </row>
    <row r="9" spans="3:6">
      <c r="C9" s="62" t="s">
        <v>76</v>
      </c>
      <c r="D9" s="62"/>
      <c r="E9" s="63"/>
      <c r="F9" s="63"/>
    </row>
    <row r="10" spans="3:6">
      <c r="C10" s="64" t="s">
        <v>77</v>
      </c>
      <c r="D10" s="64" t="s">
        <v>78</v>
      </c>
      <c r="E10" s="65" t="s">
        <v>79</v>
      </c>
      <c r="F10" s="65" t="s">
        <v>80</v>
      </c>
    </row>
    <row r="11" spans="3:6">
      <c r="C11" s="63" t="s">
        <v>81</v>
      </c>
      <c r="D11" s="63">
        <v>0.032</v>
      </c>
      <c r="E11" s="66">
        <f>(D11-0.0376)/3.4194</f>
        <v>-0.00163771421886881</v>
      </c>
      <c r="F11" s="66">
        <f>E11*50</f>
        <v>-0.0818857109434404</v>
      </c>
    </row>
    <row r="12" spans="3:6">
      <c r="C12" s="63">
        <v>5</v>
      </c>
      <c r="D12" s="63">
        <v>0.055</v>
      </c>
      <c r="E12" s="66">
        <f t="shared" ref="E12:E15" si="0">(D12-0.0376)/3.4194</f>
        <v>0.00508861203719951</v>
      </c>
      <c r="F12" s="66">
        <f t="shared" ref="F12:F15" si="1">E12*50</f>
        <v>0.254430601859975</v>
      </c>
    </row>
    <row r="13" spans="3:6">
      <c r="C13" s="63">
        <v>6</v>
      </c>
      <c r="D13" s="63">
        <v>0.064</v>
      </c>
      <c r="E13" s="66">
        <f t="shared" si="0"/>
        <v>0.00772065274609581</v>
      </c>
      <c r="F13" s="66">
        <f t="shared" si="1"/>
        <v>0.38603263730479</v>
      </c>
    </row>
    <row r="14" spans="3:6">
      <c r="C14" s="63">
        <v>7</v>
      </c>
      <c r="D14" s="63">
        <v>0.055</v>
      </c>
      <c r="E14" s="66">
        <f t="shared" si="0"/>
        <v>0.00508861203719951</v>
      </c>
      <c r="F14" s="66">
        <f t="shared" si="1"/>
        <v>0.254430601859975</v>
      </c>
    </row>
    <row r="15" spans="3:6">
      <c r="C15" s="63">
        <v>8</v>
      </c>
      <c r="D15" s="63">
        <v>0.056</v>
      </c>
      <c r="E15" s="66">
        <f t="shared" si="0"/>
        <v>0.00538106100485465</v>
      </c>
      <c r="F15" s="66">
        <f t="shared" si="1"/>
        <v>0.269053050242733</v>
      </c>
    </row>
    <row r="18" spans="1:1">
      <c r="A18" t="s">
        <v>82</v>
      </c>
    </row>
    <row r="19" spans="3:4">
      <c r="C19" s="62" t="s">
        <v>74</v>
      </c>
      <c r="D19" s="62" t="s">
        <v>75</v>
      </c>
    </row>
    <row r="20" spans="3:4">
      <c r="C20" s="63">
        <v>0</v>
      </c>
      <c r="D20" s="63">
        <v>0</v>
      </c>
    </row>
    <row r="21" spans="3:4">
      <c r="C21" s="63">
        <v>0.05</v>
      </c>
      <c r="D21" s="63">
        <v>0.115</v>
      </c>
    </row>
    <row r="22" spans="3:4">
      <c r="C22" s="63">
        <v>0.1</v>
      </c>
      <c r="D22" s="63">
        <v>0.173</v>
      </c>
    </row>
    <row r="23" spans="3:4">
      <c r="C23" s="63">
        <v>0.15</v>
      </c>
      <c r="D23" s="63">
        <v>0.212</v>
      </c>
    </row>
    <row r="24" spans="3:4">
      <c r="C24" s="63">
        <v>0.2</v>
      </c>
      <c r="D24" s="63">
        <v>0.266</v>
      </c>
    </row>
    <row r="25" spans="3:4">
      <c r="C25" s="63">
        <v>0.25</v>
      </c>
      <c r="D25" s="63">
        <v>0.312</v>
      </c>
    </row>
    <row r="31" spans="1:4">
      <c r="A31" s="67" t="s">
        <v>83</v>
      </c>
      <c r="C31" s="62" t="s">
        <v>74</v>
      </c>
      <c r="D31" s="62" t="s">
        <v>75</v>
      </c>
    </row>
    <row r="32" spans="3:4">
      <c r="C32" s="63">
        <v>0</v>
      </c>
      <c r="D32" s="63">
        <v>0</v>
      </c>
    </row>
    <row r="33" spans="1:4">
      <c r="A33" s="68"/>
      <c r="C33" s="63">
        <v>0.05</v>
      </c>
      <c r="D33" s="63">
        <v>0.112</v>
      </c>
    </row>
    <row r="34" spans="3:4">
      <c r="C34" s="63">
        <v>0.1</v>
      </c>
      <c r="D34" s="63">
        <v>0.181</v>
      </c>
    </row>
    <row r="35" spans="3:4">
      <c r="C35" s="63">
        <v>0.15</v>
      </c>
      <c r="D35" s="63">
        <v>0.257</v>
      </c>
    </row>
    <row r="36" spans="3:4">
      <c r="C36" s="63">
        <v>0.2</v>
      </c>
      <c r="D36" s="63">
        <v>0.335</v>
      </c>
    </row>
    <row r="37" spans="3:4">
      <c r="C37" s="63">
        <v>0.25</v>
      </c>
      <c r="D37" s="63">
        <v>0.386</v>
      </c>
    </row>
  </sheetData>
  <mergeCells count="1">
    <mergeCell ref="C9:D9"/>
  </mergeCells>
  <pageMargins left="0.7" right="0.7" top="0.75" bottom="0.75" header="0.3" footer="0.3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E213"/>
  <sheetViews>
    <sheetView zoomScale="80" zoomScaleNormal="80" topLeftCell="A161" workbookViewId="0">
      <selection activeCell="A172" sqref="A172"/>
    </sheetView>
  </sheetViews>
  <sheetFormatPr defaultColWidth="9" defaultRowHeight="14.25"/>
  <cols>
    <col min="10" max="10" width="9.5" customWidth="1"/>
  </cols>
  <sheetData>
    <row r="2" spans="1:11">
      <c r="A2" s="40" t="s">
        <v>84</v>
      </c>
      <c r="B2" s="1"/>
      <c r="C2" s="1"/>
      <c r="D2" s="1"/>
      <c r="E2" s="1"/>
      <c r="F2" s="1"/>
      <c r="G2" s="1"/>
      <c r="H2" s="1"/>
      <c r="I2" s="47"/>
      <c r="J2" s="1"/>
      <c r="K2" s="1"/>
    </row>
    <row r="3" spans="1:14">
      <c r="A3" s="30" t="s">
        <v>26</v>
      </c>
      <c r="B3" s="30" t="s">
        <v>1</v>
      </c>
      <c r="C3" s="30" t="s">
        <v>2</v>
      </c>
      <c r="F3" s="30" t="s">
        <v>1</v>
      </c>
      <c r="I3" s="30"/>
      <c r="J3" s="30" t="s">
        <v>1</v>
      </c>
      <c r="N3" s="30" t="s">
        <v>26</v>
      </c>
    </row>
    <row r="4" spans="1:18">
      <c r="A4" s="30" t="s">
        <v>85</v>
      </c>
      <c r="B4">
        <v>0.177</v>
      </c>
      <c r="C4" s="41">
        <f>(B4-0.0208)/1.5286</f>
        <v>0.10218500588774</v>
      </c>
      <c r="F4">
        <v>0.172</v>
      </c>
      <c r="G4" s="41">
        <f>(F4-0.0208)/1.5286</f>
        <v>0.0989140389899254</v>
      </c>
      <c r="I4" s="30"/>
      <c r="J4">
        <v>0.179</v>
      </c>
      <c r="K4" s="41">
        <f>(J4-0.0208)/1.5286</f>
        <v>0.103493392646866</v>
      </c>
      <c r="M4" s="30" t="s">
        <v>56</v>
      </c>
      <c r="N4" s="30" t="s">
        <v>86</v>
      </c>
      <c r="O4">
        <v>0.102</v>
      </c>
      <c r="P4">
        <v>0.099</v>
      </c>
      <c r="Q4">
        <v>0.103</v>
      </c>
      <c r="R4" s="49">
        <f>(O4+P4+Q4)/3</f>
        <v>0.101333333333333</v>
      </c>
    </row>
    <row r="5" spans="1:18">
      <c r="A5" s="30" t="s">
        <v>87</v>
      </c>
      <c r="B5" s="42">
        <v>0.31</v>
      </c>
      <c r="C5" s="41">
        <f t="shared" ref="C5:C12" si="0">(B5-0.0208)/1.5286</f>
        <v>0.189192725369619</v>
      </c>
      <c r="F5" s="42">
        <v>0.307</v>
      </c>
      <c r="G5" s="41">
        <f t="shared" ref="G5:G12" si="1">(F5-0.0208)/1.5286</f>
        <v>0.18723014523093</v>
      </c>
      <c r="I5" s="30"/>
      <c r="J5" s="42">
        <v>0.312</v>
      </c>
      <c r="K5" s="41">
        <f t="shared" ref="K5:K12" si="2">(J5-0.0208)/1.5286</f>
        <v>0.190501112128745</v>
      </c>
      <c r="M5" s="30" t="s">
        <v>56</v>
      </c>
      <c r="N5" s="30" t="s">
        <v>88</v>
      </c>
      <c r="O5">
        <v>0.198</v>
      </c>
      <c r="P5">
        <v>0.197</v>
      </c>
      <c r="Q5">
        <v>0.2</v>
      </c>
      <c r="R5" s="49">
        <f t="shared" ref="R5:R12" si="3">(O5+P5+Q5)/3</f>
        <v>0.198333333333333</v>
      </c>
    </row>
    <row r="6" spans="1:18">
      <c r="A6" s="30" t="s">
        <v>89</v>
      </c>
      <c r="B6">
        <v>0.164</v>
      </c>
      <c r="C6" s="41">
        <f t="shared" si="0"/>
        <v>0.0936804919534214</v>
      </c>
      <c r="F6">
        <v>0.161</v>
      </c>
      <c r="G6" s="41">
        <f t="shared" si="1"/>
        <v>0.0917179118147324</v>
      </c>
      <c r="I6" s="30"/>
      <c r="J6">
        <v>0.165</v>
      </c>
      <c r="K6" s="41">
        <f t="shared" si="2"/>
        <v>0.0943346853329844</v>
      </c>
      <c r="M6" s="30" t="s">
        <v>56</v>
      </c>
      <c r="N6" s="30" t="s">
        <v>90</v>
      </c>
      <c r="O6">
        <v>0.094</v>
      </c>
      <c r="P6">
        <v>0.092</v>
      </c>
      <c r="Q6">
        <v>0.094</v>
      </c>
      <c r="R6" s="49">
        <f t="shared" si="3"/>
        <v>0.0933333333333333</v>
      </c>
    </row>
    <row r="7" spans="1:18">
      <c r="A7" s="30" t="s">
        <v>91</v>
      </c>
      <c r="B7">
        <v>0.199</v>
      </c>
      <c r="C7" s="41">
        <f t="shared" si="0"/>
        <v>0.116577260238126</v>
      </c>
      <c r="F7">
        <v>0.201</v>
      </c>
      <c r="G7" s="41">
        <f t="shared" si="1"/>
        <v>0.117885646997252</v>
      </c>
      <c r="I7" s="30"/>
      <c r="J7">
        <v>0.202</v>
      </c>
      <c r="K7" s="41">
        <f t="shared" si="2"/>
        <v>0.118539840376815</v>
      </c>
      <c r="M7" s="30" t="s">
        <v>57</v>
      </c>
      <c r="N7" s="30" t="s">
        <v>86</v>
      </c>
      <c r="O7">
        <v>0.117</v>
      </c>
      <c r="P7">
        <v>0.118</v>
      </c>
      <c r="Q7">
        <v>0.119</v>
      </c>
      <c r="R7" s="49">
        <f t="shared" si="3"/>
        <v>0.118</v>
      </c>
    </row>
    <row r="8" spans="1:18">
      <c r="A8" s="30" t="s">
        <v>92</v>
      </c>
      <c r="B8" s="42">
        <v>0.324</v>
      </c>
      <c r="C8" s="41">
        <f t="shared" si="0"/>
        <v>0.198351432683501</v>
      </c>
      <c r="F8" s="42">
        <v>0.322</v>
      </c>
      <c r="G8" s="41">
        <f t="shared" si="1"/>
        <v>0.197043045924375</v>
      </c>
      <c r="I8" s="30"/>
      <c r="J8" s="42">
        <v>0.326</v>
      </c>
      <c r="K8" s="41">
        <f t="shared" si="2"/>
        <v>0.199659819442627</v>
      </c>
      <c r="M8" s="30" t="s">
        <v>57</v>
      </c>
      <c r="N8" s="30" t="s">
        <v>88</v>
      </c>
      <c r="O8">
        <v>0.173</v>
      </c>
      <c r="P8">
        <v>0.175</v>
      </c>
      <c r="Q8">
        <v>0.171</v>
      </c>
      <c r="R8" s="49">
        <f t="shared" si="3"/>
        <v>0.173</v>
      </c>
    </row>
    <row r="9" spans="1:18">
      <c r="A9" s="30" t="s">
        <v>93</v>
      </c>
      <c r="B9">
        <v>0.182</v>
      </c>
      <c r="C9" s="41">
        <f t="shared" si="0"/>
        <v>0.105455972785555</v>
      </c>
      <c r="F9">
        <v>0.18</v>
      </c>
      <c r="G9" s="41">
        <f t="shared" si="1"/>
        <v>0.104147586026429</v>
      </c>
      <c r="I9" s="30"/>
      <c r="J9">
        <v>0.185</v>
      </c>
      <c r="K9" s="41">
        <f t="shared" si="2"/>
        <v>0.107418552924244</v>
      </c>
      <c r="M9" s="30" t="s">
        <v>57</v>
      </c>
      <c r="N9" s="30" t="s">
        <v>90</v>
      </c>
      <c r="O9">
        <v>0.105</v>
      </c>
      <c r="P9">
        <v>0.104</v>
      </c>
      <c r="Q9">
        <v>0.107</v>
      </c>
      <c r="R9" s="49">
        <f t="shared" si="3"/>
        <v>0.105333333333333</v>
      </c>
    </row>
    <row r="10" spans="1:18">
      <c r="A10" s="30" t="s">
        <v>94</v>
      </c>
      <c r="B10">
        <v>0.168</v>
      </c>
      <c r="C10" s="41">
        <f t="shared" si="0"/>
        <v>0.0962972654716734</v>
      </c>
      <c r="F10">
        <v>0.169</v>
      </c>
      <c r="G10" s="41">
        <f t="shared" si="1"/>
        <v>0.0969514588512364</v>
      </c>
      <c r="I10" s="30"/>
      <c r="J10">
        <v>0.165</v>
      </c>
      <c r="K10" s="41">
        <f t="shared" si="2"/>
        <v>0.0943346853329844</v>
      </c>
      <c r="M10" s="30" t="s">
        <v>59</v>
      </c>
      <c r="N10" s="30" t="s">
        <v>86</v>
      </c>
      <c r="O10">
        <v>0.096</v>
      </c>
      <c r="P10">
        <v>0.097</v>
      </c>
      <c r="Q10">
        <v>0.094</v>
      </c>
      <c r="R10" s="49">
        <f t="shared" si="3"/>
        <v>0.0956666666666667</v>
      </c>
    </row>
    <row r="11" spans="1:18">
      <c r="A11" s="30" t="s">
        <v>95</v>
      </c>
      <c r="B11" s="42">
        <v>0.286</v>
      </c>
      <c r="C11" s="41">
        <f t="shared" si="0"/>
        <v>0.173492084260107</v>
      </c>
      <c r="F11" s="42">
        <v>0.289</v>
      </c>
      <c r="G11" s="41">
        <f t="shared" si="1"/>
        <v>0.175454664398796</v>
      </c>
      <c r="I11" s="30"/>
      <c r="J11" s="42">
        <v>0.282</v>
      </c>
      <c r="K11" s="41">
        <f t="shared" si="2"/>
        <v>0.170875310741855</v>
      </c>
      <c r="M11" s="30" t="s">
        <v>59</v>
      </c>
      <c r="N11" s="30" t="s">
        <v>88</v>
      </c>
      <c r="O11">
        <v>0.189</v>
      </c>
      <c r="P11">
        <v>0.187</v>
      </c>
      <c r="Q11">
        <v>0.191</v>
      </c>
      <c r="R11" s="49">
        <f t="shared" si="3"/>
        <v>0.189</v>
      </c>
    </row>
    <row r="12" spans="1:18">
      <c r="A12" s="30" t="s">
        <v>96</v>
      </c>
      <c r="B12">
        <v>0.171</v>
      </c>
      <c r="C12" s="41">
        <f t="shared" si="0"/>
        <v>0.0982598456103624</v>
      </c>
      <c r="F12">
        <v>0.176</v>
      </c>
      <c r="G12" s="41">
        <f t="shared" si="1"/>
        <v>0.101530812508177</v>
      </c>
      <c r="I12" s="30"/>
      <c r="J12">
        <v>0.179</v>
      </c>
      <c r="K12" s="41">
        <f t="shared" si="2"/>
        <v>0.103493392646866</v>
      </c>
      <c r="M12" s="30" t="s">
        <v>59</v>
      </c>
      <c r="N12" s="30" t="s">
        <v>90</v>
      </c>
      <c r="O12">
        <v>0.098</v>
      </c>
      <c r="P12">
        <v>0.102</v>
      </c>
      <c r="Q12">
        <v>0.103</v>
      </c>
      <c r="R12" s="49">
        <f t="shared" si="3"/>
        <v>0.101</v>
      </c>
    </row>
    <row r="13" spans="7:13">
      <c r="G13" s="41"/>
      <c r="I13" s="30"/>
      <c r="M13" s="30" t="s">
        <v>97</v>
      </c>
    </row>
    <row r="14" spans="9:9">
      <c r="I14" s="30"/>
    </row>
    <row r="15" spans="1:10">
      <c r="A15" s="40" t="s">
        <v>68</v>
      </c>
      <c r="B15" s="1"/>
      <c r="C15" s="1"/>
      <c r="D15" s="1"/>
      <c r="E15" s="1"/>
      <c r="F15" s="1"/>
      <c r="G15" s="1"/>
      <c r="H15" s="1"/>
      <c r="I15" s="1"/>
      <c r="J15" s="48"/>
    </row>
    <row r="16" spans="1:8">
      <c r="A16" s="30" t="s">
        <v>26</v>
      </c>
      <c r="B16" s="30" t="s">
        <v>1</v>
      </c>
      <c r="C16" s="30" t="s">
        <v>2</v>
      </c>
      <c r="E16" s="30" t="s">
        <v>98</v>
      </c>
      <c r="H16" s="30" t="s">
        <v>99</v>
      </c>
    </row>
    <row r="17" spans="1:8">
      <c r="A17" s="30" t="s">
        <v>85</v>
      </c>
      <c r="B17">
        <v>0.369</v>
      </c>
      <c r="C17">
        <f>(B17+0.0389)/1.9673</f>
        <v>0.207340009149596</v>
      </c>
      <c r="E17">
        <f>(C17/2)/H17*I107</f>
        <v>0.033798024864369</v>
      </c>
      <c r="F17" s="43">
        <f>E17*1</f>
        <v>0.033798024864369</v>
      </c>
      <c r="G17">
        <v>3.38</v>
      </c>
      <c r="H17" s="41">
        <v>3.048</v>
      </c>
    </row>
    <row r="18" spans="1:8">
      <c r="A18" s="30"/>
      <c r="B18">
        <v>0.367</v>
      </c>
      <c r="C18">
        <f t="shared" ref="C18:C43" si="4">(B18+0.0389)/1.9673</f>
        <v>0.206323387383724</v>
      </c>
      <c r="E18">
        <f t="shared" ref="E18:E43" si="5">(C18/2)/H18*I108</f>
        <v>0.0338123329336847</v>
      </c>
      <c r="F18" s="43">
        <f t="shared" ref="F18:F43" si="6">E18*1</f>
        <v>0.0338123329336847</v>
      </c>
      <c r="G18">
        <v>3.38</v>
      </c>
      <c r="H18" s="41">
        <v>3.032</v>
      </c>
    </row>
    <row r="19" spans="1:8">
      <c r="A19" s="30"/>
      <c r="B19">
        <v>0.36</v>
      </c>
      <c r="C19">
        <f t="shared" si="4"/>
        <v>0.202765211203172</v>
      </c>
      <c r="E19">
        <f t="shared" si="5"/>
        <v>0.0335497762678377</v>
      </c>
      <c r="F19" s="43">
        <f t="shared" si="6"/>
        <v>0.0335497762678377</v>
      </c>
      <c r="G19">
        <v>3.35</v>
      </c>
      <c r="H19" s="41">
        <v>3.003</v>
      </c>
    </row>
    <row r="20" spans="1:8">
      <c r="A20" s="30" t="s">
        <v>100</v>
      </c>
      <c r="B20" s="44">
        <v>0.335</v>
      </c>
      <c r="C20">
        <f t="shared" si="4"/>
        <v>0.190057439129772</v>
      </c>
      <c r="E20">
        <f t="shared" si="5"/>
        <v>0.0315300405302631</v>
      </c>
      <c r="F20" s="43">
        <f t="shared" si="6"/>
        <v>0.0315300405302631</v>
      </c>
      <c r="G20">
        <v>3.15</v>
      </c>
      <c r="H20" s="41">
        <v>3.005</v>
      </c>
    </row>
    <row r="21" spans="1:8">
      <c r="A21" s="30"/>
      <c r="B21" s="44">
        <v>0.331</v>
      </c>
      <c r="C21">
        <f t="shared" si="4"/>
        <v>0.188024195598028</v>
      </c>
      <c r="E21">
        <f t="shared" si="5"/>
        <v>0.0309301741767492</v>
      </c>
      <c r="F21" s="43">
        <f t="shared" si="6"/>
        <v>0.0309301741767492</v>
      </c>
      <c r="G21">
        <v>3.09</v>
      </c>
      <c r="H21" s="41">
        <v>3.03</v>
      </c>
    </row>
    <row r="22" spans="1:8">
      <c r="A22" s="30"/>
      <c r="B22" s="44">
        <v>0.337</v>
      </c>
      <c r="C22">
        <f t="shared" si="4"/>
        <v>0.191074060895644</v>
      </c>
      <c r="E22">
        <f t="shared" si="5"/>
        <v>0.0316585674631924</v>
      </c>
      <c r="F22" s="43">
        <f t="shared" si="6"/>
        <v>0.0316585674631924</v>
      </c>
      <c r="G22">
        <v>3.17</v>
      </c>
      <c r="H22" s="41">
        <v>3.008</v>
      </c>
    </row>
    <row r="23" spans="1:8">
      <c r="A23" s="30" t="s">
        <v>89</v>
      </c>
      <c r="B23">
        <v>0.164</v>
      </c>
      <c r="C23">
        <f t="shared" si="4"/>
        <v>0.103136278147715</v>
      </c>
      <c r="E23">
        <f t="shared" si="5"/>
        <v>0.0170662447656476</v>
      </c>
      <c r="F23" s="43">
        <f t="shared" si="6"/>
        <v>0.0170662447656476</v>
      </c>
      <c r="G23">
        <v>1.71</v>
      </c>
      <c r="H23" s="45">
        <v>3.009</v>
      </c>
    </row>
    <row r="24" spans="1:18">
      <c r="A24" s="30"/>
      <c r="B24">
        <v>0.16</v>
      </c>
      <c r="C24">
        <f t="shared" si="4"/>
        <v>0.101103034615971</v>
      </c>
      <c r="E24">
        <f t="shared" si="5"/>
        <v>0.0167587694797815</v>
      </c>
      <c r="F24" s="43">
        <f t="shared" si="6"/>
        <v>0.0167587694797815</v>
      </c>
      <c r="G24">
        <v>1.68</v>
      </c>
      <c r="H24" s="45">
        <v>3.0041</v>
      </c>
      <c r="K24" s="30" t="s">
        <v>56</v>
      </c>
      <c r="L24" s="30" t="s">
        <v>86</v>
      </c>
      <c r="M24">
        <v>3.38</v>
      </c>
      <c r="N24">
        <v>3.38</v>
      </c>
      <c r="O24">
        <v>3.35</v>
      </c>
      <c r="Q24">
        <v>3.37</v>
      </c>
      <c r="R24">
        <v>0.01732</v>
      </c>
    </row>
    <row r="25" spans="1:18">
      <c r="A25" s="30"/>
      <c r="B25" s="46">
        <v>0.162</v>
      </c>
      <c r="C25">
        <f t="shared" si="4"/>
        <v>0.102119656381843</v>
      </c>
      <c r="E25">
        <f t="shared" si="5"/>
        <v>0.0169155025606661</v>
      </c>
      <c r="F25" s="43">
        <f t="shared" si="6"/>
        <v>0.0169155025606661</v>
      </c>
      <c r="G25">
        <v>1.69</v>
      </c>
      <c r="H25" s="41">
        <v>3.0062</v>
      </c>
      <c r="K25" s="30" t="s">
        <v>56</v>
      </c>
      <c r="L25" s="30" t="s">
        <v>88</v>
      </c>
      <c r="M25">
        <v>3.15</v>
      </c>
      <c r="N25">
        <v>3.09</v>
      </c>
      <c r="O25">
        <v>3.17</v>
      </c>
      <c r="Q25">
        <v>3.13667</v>
      </c>
      <c r="R25">
        <v>0.04163</v>
      </c>
    </row>
    <row r="26" spans="1:18">
      <c r="A26" s="30" t="s">
        <v>91</v>
      </c>
      <c r="B26">
        <v>0.195</v>
      </c>
      <c r="C26">
        <f t="shared" si="4"/>
        <v>0.118893915518731</v>
      </c>
      <c r="E26">
        <f t="shared" si="5"/>
        <v>0.0195906222343374</v>
      </c>
      <c r="F26" s="43">
        <f t="shared" si="6"/>
        <v>0.0195906222343374</v>
      </c>
      <c r="G26">
        <v>1.96</v>
      </c>
      <c r="H26" s="41">
        <v>3.017</v>
      </c>
      <c r="K26" s="30" t="s">
        <v>56</v>
      </c>
      <c r="L26" s="30" t="s">
        <v>90</v>
      </c>
      <c r="M26">
        <v>1.71</v>
      </c>
      <c r="N26">
        <v>1.68</v>
      </c>
      <c r="O26">
        <v>1.69</v>
      </c>
      <c r="Q26">
        <v>1.69333</v>
      </c>
      <c r="R26">
        <v>0.01528</v>
      </c>
    </row>
    <row r="27" spans="1:18">
      <c r="A27" s="30"/>
      <c r="B27">
        <v>0.19</v>
      </c>
      <c r="C27">
        <f t="shared" si="4"/>
        <v>0.116352361104051</v>
      </c>
      <c r="E27">
        <f t="shared" si="5"/>
        <v>0.0192657806458527</v>
      </c>
      <c r="F27" s="43">
        <f t="shared" si="6"/>
        <v>0.0192657806458527</v>
      </c>
      <c r="G27">
        <v>1.93</v>
      </c>
      <c r="H27" s="41">
        <v>3.002</v>
      </c>
      <c r="K27" s="30" t="s">
        <v>57</v>
      </c>
      <c r="L27" s="30" t="s">
        <v>86</v>
      </c>
      <c r="M27">
        <v>1.96</v>
      </c>
      <c r="N27">
        <v>1.93</v>
      </c>
      <c r="O27">
        <v>1.95</v>
      </c>
      <c r="Q27">
        <v>1.94667</v>
      </c>
      <c r="R27">
        <v>0.01528</v>
      </c>
    </row>
    <row r="28" spans="1:18">
      <c r="A28" s="30"/>
      <c r="B28">
        <v>0.194</v>
      </c>
      <c r="C28">
        <f t="shared" si="4"/>
        <v>0.118385604635795</v>
      </c>
      <c r="E28">
        <f t="shared" si="5"/>
        <v>0.0195265679802229</v>
      </c>
      <c r="F28" s="43">
        <f t="shared" si="6"/>
        <v>0.0195265679802229</v>
      </c>
      <c r="G28">
        <v>1.95</v>
      </c>
      <c r="H28" s="41">
        <v>3.014</v>
      </c>
      <c r="K28" s="30" t="s">
        <v>57</v>
      </c>
      <c r="L28" s="30" t="s">
        <v>88</v>
      </c>
      <c r="M28">
        <v>1.76</v>
      </c>
      <c r="N28">
        <v>1.75</v>
      </c>
      <c r="O28">
        <v>1.77</v>
      </c>
      <c r="Q28">
        <v>1.76</v>
      </c>
      <c r="R28">
        <v>0.01</v>
      </c>
    </row>
    <row r="29" spans="1:18">
      <c r="A29" s="30" t="s">
        <v>101</v>
      </c>
      <c r="B29" s="44">
        <v>0.17</v>
      </c>
      <c r="C29">
        <f t="shared" si="4"/>
        <v>0.106186143445331</v>
      </c>
      <c r="E29">
        <f t="shared" si="5"/>
        <v>0.0175858378654369</v>
      </c>
      <c r="F29" s="43">
        <f t="shared" si="6"/>
        <v>0.0175858378654369</v>
      </c>
      <c r="G29">
        <v>1.76</v>
      </c>
      <c r="H29" s="41">
        <v>3.007</v>
      </c>
      <c r="K29" s="30" t="s">
        <v>57</v>
      </c>
      <c r="L29" s="30" t="s">
        <v>90</v>
      </c>
      <c r="M29">
        <v>1.13</v>
      </c>
      <c r="N29">
        <v>1.09</v>
      </c>
      <c r="O29">
        <v>1.1</v>
      </c>
      <c r="Q29">
        <v>1.10667</v>
      </c>
      <c r="R29">
        <v>0.02082</v>
      </c>
    </row>
    <row r="30" spans="1:18">
      <c r="A30" s="30"/>
      <c r="B30" s="44">
        <v>0.169</v>
      </c>
      <c r="C30">
        <f t="shared" si="4"/>
        <v>0.105677832562395</v>
      </c>
      <c r="E30">
        <f t="shared" si="5"/>
        <v>0.0175213811307621</v>
      </c>
      <c r="F30" s="43">
        <f t="shared" si="6"/>
        <v>0.0175213811307621</v>
      </c>
      <c r="G30">
        <v>1.75</v>
      </c>
      <c r="H30" s="41">
        <v>3.004</v>
      </c>
      <c r="K30" s="30" t="s">
        <v>59</v>
      </c>
      <c r="L30" s="30" t="s">
        <v>86</v>
      </c>
      <c r="M30">
        <v>2.53</v>
      </c>
      <c r="N30">
        <v>2.52</v>
      </c>
      <c r="O30">
        <v>2.49</v>
      </c>
      <c r="Q30">
        <v>2.51333</v>
      </c>
      <c r="R30">
        <v>0.02082</v>
      </c>
    </row>
    <row r="31" spans="1:18">
      <c r="A31" s="30"/>
      <c r="B31" s="44">
        <v>0.172</v>
      </c>
      <c r="C31">
        <f t="shared" si="4"/>
        <v>0.107202765211203</v>
      </c>
      <c r="E31">
        <f t="shared" si="5"/>
        <v>0.0177140185825989</v>
      </c>
      <c r="F31" s="43">
        <f t="shared" si="6"/>
        <v>0.0177140185825989</v>
      </c>
      <c r="G31">
        <v>1.77</v>
      </c>
      <c r="H31" s="41">
        <v>3.014</v>
      </c>
      <c r="K31" s="30" t="s">
        <v>59</v>
      </c>
      <c r="L31" s="30" t="s">
        <v>88</v>
      </c>
      <c r="M31">
        <v>2.22</v>
      </c>
      <c r="N31">
        <v>2.21</v>
      </c>
      <c r="O31">
        <v>2.24</v>
      </c>
      <c r="Q31">
        <v>2.22333</v>
      </c>
      <c r="R31">
        <v>0.01528</v>
      </c>
    </row>
    <row r="32" spans="1:18">
      <c r="A32" s="30" t="s">
        <v>93</v>
      </c>
      <c r="B32">
        <v>0.095</v>
      </c>
      <c r="C32">
        <f t="shared" si="4"/>
        <v>0.0680628272251309</v>
      </c>
      <c r="E32">
        <f t="shared" si="5"/>
        <v>0.0112626224669658</v>
      </c>
      <c r="F32" s="43">
        <f t="shared" si="6"/>
        <v>0.0112626224669658</v>
      </c>
      <c r="G32">
        <v>1.13</v>
      </c>
      <c r="H32" s="45">
        <v>3.0115</v>
      </c>
      <c r="K32" s="30" t="s">
        <v>59</v>
      </c>
      <c r="L32" s="30" t="s">
        <v>90</v>
      </c>
      <c r="M32">
        <v>1.45</v>
      </c>
      <c r="N32">
        <v>1.46</v>
      </c>
      <c r="O32">
        <v>1.43</v>
      </c>
      <c r="Q32">
        <v>1.44667</v>
      </c>
      <c r="R32">
        <v>0.01528</v>
      </c>
    </row>
    <row r="33" spans="1:8">
      <c r="A33" s="30"/>
      <c r="B33">
        <v>0.091</v>
      </c>
      <c r="C33">
        <f t="shared" si="4"/>
        <v>0.0660295836933869</v>
      </c>
      <c r="E33">
        <f t="shared" si="5"/>
        <v>0.0109487274924168</v>
      </c>
      <c r="F33" s="43">
        <f t="shared" si="6"/>
        <v>0.0109487274924168</v>
      </c>
      <c r="G33">
        <v>1.09</v>
      </c>
      <c r="H33" s="45">
        <v>3.0062</v>
      </c>
    </row>
    <row r="34" spans="1:8">
      <c r="A34" s="30"/>
      <c r="B34" s="44">
        <v>0.092</v>
      </c>
      <c r="C34">
        <f t="shared" si="4"/>
        <v>0.0665378945763229</v>
      </c>
      <c r="E34">
        <f t="shared" si="5"/>
        <v>0.0110232302040697</v>
      </c>
      <c r="F34" s="43">
        <f t="shared" si="6"/>
        <v>0.0110232302040697</v>
      </c>
      <c r="G34">
        <v>1.1</v>
      </c>
      <c r="H34" s="41">
        <v>3.0081</v>
      </c>
    </row>
    <row r="35" spans="1:8">
      <c r="A35" s="30" t="s">
        <v>94</v>
      </c>
      <c r="B35">
        <v>0.269</v>
      </c>
      <c r="C35">
        <f t="shared" si="4"/>
        <v>0.156508920855996</v>
      </c>
      <c r="E35">
        <f t="shared" si="5"/>
        <v>0.0253106281459132</v>
      </c>
      <c r="F35" s="43">
        <f t="shared" si="6"/>
        <v>0.0253106281459132</v>
      </c>
      <c r="G35">
        <v>2.53</v>
      </c>
      <c r="H35" s="41">
        <v>3.078</v>
      </c>
    </row>
    <row r="36" spans="1:8">
      <c r="A36" s="30"/>
      <c r="B36">
        <v>0.266</v>
      </c>
      <c r="C36">
        <f t="shared" si="4"/>
        <v>0.154983988207188</v>
      </c>
      <c r="E36">
        <f t="shared" si="5"/>
        <v>0.0251840578081292</v>
      </c>
      <c r="F36" s="43">
        <f t="shared" si="6"/>
        <v>0.0251840578081292</v>
      </c>
      <c r="G36">
        <v>2.52</v>
      </c>
      <c r="H36" s="41">
        <v>3.064</v>
      </c>
    </row>
    <row r="37" spans="1:8">
      <c r="A37" s="30"/>
      <c r="B37">
        <v>0.257</v>
      </c>
      <c r="C37">
        <f t="shared" si="4"/>
        <v>0.150409190260763</v>
      </c>
      <c r="E37">
        <f t="shared" si="5"/>
        <v>0.024857731297473</v>
      </c>
      <c r="F37" s="43">
        <f t="shared" si="6"/>
        <v>0.024857731297473</v>
      </c>
      <c r="G37">
        <v>2.49</v>
      </c>
      <c r="H37" s="41">
        <v>3.012</v>
      </c>
    </row>
    <row r="38" spans="1:8">
      <c r="A38" s="30" t="s">
        <v>102</v>
      </c>
      <c r="B38">
        <v>0.225</v>
      </c>
      <c r="C38">
        <f t="shared" si="4"/>
        <v>0.134143242006811</v>
      </c>
      <c r="E38">
        <f t="shared" si="5"/>
        <v>0.0222128812353795</v>
      </c>
      <c r="F38" s="43">
        <f t="shared" si="6"/>
        <v>0.0222128812353795</v>
      </c>
      <c r="G38">
        <v>2.22</v>
      </c>
      <c r="H38" s="41">
        <v>3.01</v>
      </c>
    </row>
    <row r="39" spans="1:8">
      <c r="A39" s="30"/>
      <c r="B39">
        <v>0.224</v>
      </c>
      <c r="C39">
        <f t="shared" si="4"/>
        <v>0.133634931123875</v>
      </c>
      <c r="E39">
        <f t="shared" si="5"/>
        <v>0.0221454614771726</v>
      </c>
      <c r="F39" s="43">
        <f t="shared" si="6"/>
        <v>0.0221454614771726</v>
      </c>
      <c r="G39">
        <v>2.21</v>
      </c>
      <c r="H39" s="41">
        <v>3.008</v>
      </c>
    </row>
    <row r="40" spans="1:8">
      <c r="A40" s="30"/>
      <c r="B40">
        <v>0.228</v>
      </c>
      <c r="C40">
        <f t="shared" si="4"/>
        <v>0.135668174655619</v>
      </c>
      <c r="E40">
        <f t="shared" si="5"/>
        <v>0.0223695403932921</v>
      </c>
      <c r="F40" s="43">
        <f t="shared" si="6"/>
        <v>0.0223695403932921</v>
      </c>
      <c r="G40">
        <v>2.24</v>
      </c>
      <c r="H40" s="41">
        <v>3.023</v>
      </c>
    </row>
    <row r="41" spans="1:8">
      <c r="A41" s="30" t="s">
        <v>96</v>
      </c>
      <c r="B41">
        <v>0.133</v>
      </c>
      <c r="C41">
        <f t="shared" si="4"/>
        <v>0.087378640776699</v>
      </c>
      <c r="E41">
        <f t="shared" si="5"/>
        <v>0.0145040656298355</v>
      </c>
      <c r="F41" s="43">
        <f t="shared" si="6"/>
        <v>0.0145040656298355</v>
      </c>
      <c r="G41">
        <v>1.45</v>
      </c>
      <c r="H41" s="45">
        <v>3.005</v>
      </c>
    </row>
    <row r="42" spans="1:8">
      <c r="A42" s="30"/>
      <c r="B42">
        <v>0.134</v>
      </c>
      <c r="C42">
        <f t="shared" si="4"/>
        <v>0.087886951659635</v>
      </c>
      <c r="E42">
        <f t="shared" si="5"/>
        <v>0.0145809420408806</v>
      </c>
      <c r="F42" s="43">
        <f t="shared" si="6"/>
        <v>0.0145809420408806</v>
      </c>
      <c r="G42">
        <v>1.46</v>
      </c>
      <c r="H42" s="45">
        <v>3.006</v>
      </c>
    </row>
    <row r="43" spans="1:8">
      <c r="A43" s="30"/>
      <c r="B43">
        <v>0.13</v>
      </c>
      <c r="C43">
        <f t="shared" si="4"/>
        <v>0.085853708127891</v>
      </c>
      <c r="E43">
        <f t="shared" si="5"/>
        <v>0.0142598890809869</v>
      </c>
      <c r="F43" s="43">
        <f t="shared" si="6"/>
        <v>0.0142598890809869</v>
      </c>
      <c r="G43">
        <v>1.43</v>
      </c>
      <c r="H43" s="41">
        <v>3.003</v>
      </c>
    </row>
    <row r="44" spans="1:1">
      <c r="A44" s="30"/>
    </row>
    <row r="45" spans="1:8">
      <c r="A45" s="40" t="s">
        <v>48</v>
      </c>
      <c r="B45" s="1"/>
      <c r="C45" s="1"/>
      <c r="D45" s="1"/>
      <c r="E45" s="1"/>
      <c r="F45" s="1"/>
      <c r="G45" s="1"/>
      <c r="H45" s="1"/>
    </row>
    <row r="46" spans="1:8">
      <c r="A46" s="30" t="s">
        <v>26</v>
      </c>
      <c r="B46" s="30" t="s">
        <v>1</v>
      </c>
      <c r="C46" s="30" t="s">
        <v>2</v>
      </c>
      <c r="E46" s="30" t="s">
        <v>98</v>
      </c>
      <c r="H46" s="30" t="s">
        <v>99</v>
      </c>
    </row>
    <row r="47" spans="1:8">
      <c r="A47" s="30" t="s">
        <v>85</v>
      </c>
      <c r="B47">
        <v>0.734</v>
      </c>
      <c r="C47">
        <f>(B47+0.0033)/0.7693</f>
        <v>0.95840374366307</v>
      </c>
      <c r="E47">
        <f>(C47*10)/(50*H47*I107)</f>
        <v>0.0632863965782157</v>
      </c>
      <c r="F47" s="43">
        <f>E47*1</f>
        <v>0.0632863965782157</v>
      </c>
      <c r="G47">
        <v>6.33</v>
      </c>
      <c r="H47" s="41">
        <v>3.048</v>
      </c>
    </row>
    <row r="48" spans="1:8">
      <c r="A48" s="30"/>
      <c r="B48">
        <v>0.731</v>
      </c>
      <c r="C48">
        <f t="shared" ref="C48:C73" si="7">(B48+0.0033)/0.7693</f>
        <v>0.954504094631483</v>
      </c>
      <c r="E48">
        <f t="shared" ref="E48:E73" si="8">(C48*10)/(50*H48*I108)</f>
        <v>0.0633567256922529</v>
      </c>
      <c r="F48" s="43">
        <f t="shared" ref="F48:F73" si="9">E48*1</f>
        <v>0.0633567256922529</v>
      </c>
      <c r="G48">
        <v>6.34</v>
      </c>
      <c r="H48" s="41">
        <v>3.032</v>
      </c>
    </row>
    <row r="49" spans="1:8">
      <c r="A49" s="30"/>
      <c r="B49">
        <v>0.72</v>
      </c>
      <c r="C49">
        <f t="shared" si="7"/>
        <v>0.940205381515664</v>
      </c>
      <c r="E49">
        <f t="shared" si="8"/>
        <v>0.0628017990315946</v>
      </c>
      <c r="F49" s="43">
        <f t="shared" si="9"/>
        <v>0.0628017990315946</v>
      </c>
      <c r="G49">
        <v>6.28</v>
      </c>
      <c r="H49" s="41">
        <v>3.013</v>
      </c>
    </row>
    <row r="50" spans="1:8">
      <c r="A50" s="30" t="s">
        <v>100</v>
      </c>
      <c r="B50">
        <v>0.512</v>
      </c>
      <c r="C50">
        <f t="shared" si="7"/>
        <v>0.669829715325621</v>
      </c>
      <c r="E50">
        <f t="shared" si="8"/>
        <v>0.0447132050758075</v>
      </c>
      <c r="F50" s="43">
        <f t="shared" si="9"/>
        <v>0.0447132050758075</v>
      </c>
      <c r="G50">
        <v>4.47</v>
      </c>
      <c r="H50" s="41">
        <v>3.005</v>
      </c>
    </row>
    <row r="51" spans="1:16">
      <c r="A51" s="30"/>
      <c r="B51">
        <v>0.519</v>
      </c>
      <c r="C51">
        <f t="shared" si="7"/>
        <v>0.678928896399324</v>
      </c>
      <c r="E51">
        <f t="shared" si="8"/>
        <v>0.0452228648317013</v>
      </c>
      <c r="F51" s="43">
        <f t="shared" si="9"/>
        <v>0.0452228648317013</v>
      </c>
      <c r="G51">
        <v>4.52</v>
      </c>
      <c r="H51" s="41">
        <v>3.012</v>
      </c>
      <c r="K51" s="30" t="s">
        <v>56</v>
      </c>
      <c r="L51" s="30" t="s">
        <v>86</v>
      </c>
      <c r="M51">
        <v>6.33</v>
      </c>
      <c r="N51">
        <v>6.34</v>
      </c>
      <c r="O51">
        <v>6.28</v>
      </c>
      <c r="P51">
        <f>(M51+N51+O51)/3</f>
        <v>6.31666666666667</v>
      </c>
    </row>
    <row r="52" spans="1:16">
      <c r="A52" s="30"/>
      <c r="B52">
        <v>0.505</v>
      </c>
      <c r="C52">
        <f t="shared" si="7"/>
        <v>0.660730534251917</v>
      </c>
      <c r="E52">
        <f t="shared" si="8"/>
        <v>0.0440736671872189</v>
      </c>
      <c r="F52" s="43">
        <f t="shared" si="9"/>
        <v>0.0440736671872189</v>
      </c>
      <c r="G52">
        <v>4.41</v>
      </c>
      <c r="H52" s="41">
        <v>3.008</v>
      </c>
      <c r="K52" s="30" t="s">
        <v>56</v>
      </c>
      <c r="L52" s="30" t="s">
        <v>88</v>
      </c>
      <c r="M52">
        <v>4.47</v>
      </c>
      <c r="N52">
        <v>4.52</v>
      </c>
      <c r="O52">
        <v>4.41</v>
      </c>
      <c r="P52">
        <f t="shared" ref="P52:P59" si="10">(M52+N52+O52)/3</f>
        <v>4.46666666666667</v>
      </c>
    </row>
    <row r="53" spans="1:16">
      <c r="A53" s="30" t="s">
        <v>89</v>
      </c>
      <c r="B53">
        <v>0.627</v>
      </c>
      <c r="C53">
        <f t="shared" si="7"/>
        <v>0.819316261536462</v>
      </c>
      <c r="E53">
        <f t="shared" si="8"/>
        <v>0.0547593640325346</v>
      </c>
      <c r="F53" s="43">
        <f t="shared" si="9"/>
        <v>0.0547593640325346</v>
      </c>
      <c r="G53">
        <v>5.48</v>
      </c>
      <c r="H53" s="45">
        <v>3.005</v>
      </c>
      <c r="K53" s="30" t="s">
        <v>56</v>
      </c>
      <c r="L53" s="30" t="s">
        <v>90</v>
      </c>
      <c r="M53">
        <v>5.48</v>
      </c>
      <c r="N53">
        <v>5.5</v>
      </c>
      <c r="O53">
        <v>5.53</v>
      </c>
      <c r="P53">
        <f t="shared" si="10"/>
        <v>5.50333333333333</v>
      </c>
    </row>
    <row r="54" spans="1:16">
      <c r="A54" s="30"/>
      <c r="B54">
        <v>0.629</v>
      </c>
      <c r="C54">
        <f t="shared" si="7"/>
        <v>0.82191602755752</v>
      </c>
      <c r="E54">
        <f t="shared" si="8"/>
        <v>0.0549623551502018</v>
      </c>
      <c r="F54" s="43">
        <f t="shared" si="9"/>
        <v>0.0549623551502018</v>
      </c>
      <c r="G54">
        <v>5.5</v>
      </c>
      <c r="H54" s="45">
        <v>3.0031</v>
      </c>
      <c r="K54" s="30" t="s">
        <v>57</v>
      </c>
      <c r="L54" s="30" t="s">
        <v>86</v>
      </c>
      <c r="M54">
        <v>5.79</v>
      </c>
      <c r="N54">
        <v>5.77</v>
      </c>
      <c r="O54">
        <v>5.77</v>
      </c>
      <c r="P54">
        <f t="shared" si="10"/>
        <v>5.77666666666667</v>
      </c>
    </row>
    <row r="55" spans="1:16">
      <c r="A55" s="30"/>
      <c r="B55">
        <v>0.633</v>
      </c>
      <c r="C55">
        <f t="shared" si="7"/>
        <v>0.827115559599636</v>
      </c>
      <c r="E55">
        <f t="shared" si="8"/>
        <v>0.0552841391662552</v>
      </c>
      <c r="F55" s="43">
        <f t="shared" si="9"/>
        <v>0.0552841391662552</v>
      </c>
      <c r="G55">
        <v>5.53</v>
      </c>
      <c r="H55" s="41">
        <v>3.0045</v>
      </c>
      <c r="K55" s="30" t="s">
        <v>57</v>
      </c>
      <c r="L55" s="30" t="s">
        <v>88</v>
      </c>
      <c r="M55">
        <v>3.37</v>
      </c>
      <c r="N55">
        <v>3.41</v>
      </c>
      <c r="O55">
        <v>3.47</v>
      </c>
      <c r="P55">
        <f t="shared" si="10"/>
        <v>3.41666666666667</v>
      </c>
    </row>
    <row r="56" spans="1:16">
      <c r="A56" s="30" t="s">
        <v>91</v>
      </c>
      <c r="B56">
        <v>0.665</v>
      </c>
      <c r="C56">
        <f t="shared" si="7"/>
        <v>0.868711815936566</v>
      </c>
      <c r="E56">
        <f t="shared" si="8"/>
        <v>0.0579210609066982</v>
      </c>
      <c r="F56" s="43">
        <f t="shared" si="9"/>
        <v>0.0579210609066982</v>
      </c>
      <c r="G56">
        <v>5.79</v>
      </c>
      <c r="H56" s="41">
        <v>3.017</v>
      </c>
      <c r="K56" s="30" t="s">
        <v>57</v>
      </c>
      <c r="L56" s="30" t="s">
        <v>90</v>
      </c>
      <c r="M56">
        <v>5.34</v>
      </c>
      <c r="N56">
        <v>5.29</v>
      </c>
      <c r="O56">
        <v>5.33</v>
      </c>
      <c r="P56">
        <f t="shared" si="10"/>
        <v>5.32</v>
      </c>
    </row>
    <row r="57" spans="1:16">
      <c r="A57" s="30"/>
      <c r="B57">
        <v>0.659</v>
      </c>
      <c r="C57">
        <f t="shared" si="7"/>
        <v>0.860912517873391</v>
      </c>
      <c r="E57">
        <f t="shared" si="8"/>
        <v>0.0576934136337493</v>
      </c>
      <c r="F57" s="43">
        <f t="shared" si="9"/>
        <v>0.0576934136337493</v>
      </c>
      <c r="G57">
        <v>5.77</v>
      </c>
      <c r="H57" s="41">
        <v>3.002</v>
      </c>
      <c r="K57" s="30" t="s">
        <v>59</v>
      </c>
      <c r="L57" s="30" t="s">
        <v>86</v>
      </c>
      <c r="M57">
        <v>4.59</v>
      </c>
      <c r="N57">
        <v>4.6</v>
      </c>
      <c r="O57">
        <v>4.57</v>
      </c>
      <c r="P57">
        <f t="shared" si="10"/>
        <v>4.58666666666667</v>
      </c>
    </row>
    <row r="58" spans="1:16">
      <c r="A58" s="30"/>
      <c r="B58">
        <v>0.662</v>
      </c>
      <c r="C58">
        <f t="shared" si="7"/>
        <v>0.864812166904979</v>
      </c>
      <c r="E58">
        <f t="shared" si="8"/>
        <v>0.0577176013082407</v>
      </c>
      <c r="F58" s="43">
        <f t="shared" si="9"/>
        <v>0.0577176013082407</v>
      </c>
      <c r="G58">
        <v>5.77</v>
      </c>
      <c r="H58" s="41">
        <v>3.014</v>
      </c>
      <c r="K58" s="30" t="s">
        <v>59</v>
      </c>
      <c r="L58" s="30" t="s">
        <v>88</v>
      </c>
      <c r="M58">
        <v>3.26</v>
      </c>
      <c r="N58">
        <v>3.23</v>
      </c>
      <c r="O58">
        <v>3.28</v>
      </c>
      <c r="P58">
        <f t="shared" si="10"/>
        <v>3.25666666666667</v>
      </c>
    </row>
    <row r="59" spans="1:16">
      <c r="A59" s="30" t="s">
        <v>101</v>
      </c>
      <c r="B59">
        <v>0.385</v>
      </c>
      <c r="C59">
        <f t="shared" si="7"/>
        <v>0.504744572988431</v>
      </c>
      <c r="E59">
        <f t="shared" si="8"/>
        <v>0.0337061838352883</v>
      </c>
      <c r="F59" s="43">
        <f t="shared" si="9"/>
        <v>0.0337061838352883</v>
      </c>
      <c r="G59">
        <v>3.37</v>
      </c>
      <c r="H59" s="41">
        <v>3.007</v>
      </c>
      <c r="K59" s="30" t="s">
        <v>59</v>
      </c>
      <c r="L59" s="30" t="s">
        <v>90</v>
      </c>
      <c r="M59">
        <v>4.32</v>
      </c>
      <c r="N59">
        <v>4.3</v>
      </c>
      <c r="O59">
        <v>4.27</v>
      </c>
      <c r="P59">
        <f t="shared" si="10"/>
        <v>4.29666666666667</v>
      </c>
    </row>
    <row r="60" spans="1:8">
      <c r="A60" s="30"/>
      <c r="B60">
        <v>0.389</v>
      </c>
      <c r="C60">
        <f t="shared" si="7"/>
        <v>0.509944105030547</v>
      </c>
      <c r="E60">
        <f t="shared" si="8"/>
        <v>0.0340830365089535</v>
      </c>
      <c r="F60" s="43">
        <f t="shared" si="9"/>
        <v>0.0340830365089535</v>
      </c>
      <c r="G60">
        <v>3.41</v>
      </c>
      <c r="H60" s="41">
        <v>3.004</v>
      </c>
    </row>
    <row r="61" spans="1:8">
      <c r="A61" s="30"/>
      <c r="B61">
        <v>0.397</v>
      </c>
      <c r="C61">
        <f t="shared" si="7"/>
        <v>0.52034316911478</v>
      </c>
      <c r="E61">
        <f t="shared" si="8"/>
        <v>0.0346650837327803</v>
      </c>
      <c r="F61" s="43">
        <f t="shared" si="9"/>
        <v>0.0346650837327803</v>
      </c>
      <c r="G61">
        <v>3.47</v>
      </c>
      <c r="H61" s="41">
        <v>3.014</v>
      </c>
    </row>
    <row r="62" spans="1:8">
      <c r="A62" s="30" t="s">
        <v>93</v>
      </c>
      <c r="B62">
        <v>0.612</v>
      </c>
      <c r="C62">
        <f t="shared" si="7"/>
        <v>0.799818016378526</v>
      </c>
      <c r="E62">
        <f t="shared" si="8"/>
        <v>0.0534274428561765</v>
      </c>
      <c r="F62" s="43">
        <f t="shared" si="9"/>
        <v>0.0534274428561765</v>
      </c>
      <c r="G62">
        <v>5.34</v>
      </c>
      <c r="H62" s="45">
        <v>3.0041</v>
      </c>
    </row>
    <row r="63" spans="1:8">
      <c r="A63" s="30"/>
      <c r="B63">
        <v>0.607</v>
      </c>
      <c r="C63">
        <f t="shared" si="7"/>
        <v>0.793318601325881</v>
      </c>
      <c r="E63">
        <f t="shared" si="8"/>
        <v>0.0528893292086239</v>
      </c>
      <c r="F63" s="43">
        <f t="shared" si="9"/>
        <v>0.0528893292086239</v>
      </c>
      <c r="G63">
        <v>5.29</v>
      </c>
      <c r="H63" s="45">
        <v>3.0091</v>
      </c>
    </row>
    <row r="64" spans="1:8">
      <c r="A64" s="30"/>
      <c r="B64">
        <v>0.61</v>
      </c>
      <c r="C64">
        <f t="shared" si="7"/>
        <v>0.797218250357468</v>
      </c>
      <c r="E64">
        <f t="shared" si="8"/>
        <v>0.0532868423266446</v>
      </c>
      <c r="F64" s="43">
        <f t="shared" si="9"/>
        <v>0.0532868423266446</v>
      </c>
      <c r="G64">
        <v>5.33</v>
      </c>
      <c r="H64" s="41">
        <v>3.0021</v>
      </c>
    </row>
    <row r="65" spans="1:8">
      <c r="A65" s="30" t="s">
        <v>94</v>
      </c>
      <c r="B65">
        <v>0.538</v>
      </c>
      <c r="C65">
        <f t="shared" si="7"/>
        <v>0.703626673599376</v>
      </c>
      <c r="E65">
        <f t="shared" si="8"/>
        <v>0.0459241616780372</v>
      </c>
      <c r="F65" s="43">
        <f t="shared" si="9"/>
        <v>0.0459241616780372</v>
      </c>
      <c r="G65">
        <v>4.59</v>
      </c>
      <c r="H65" s="41">
        <v>3.078</v>
      </c>
    </row>
    <row r="66" spans="1:8">
      <c r="A66" s="30"/>
      <c r="B66">
        <v>0.536</v>
      </c>
      <c r="C66">
        <f t="shared" si="7"/>
        <v>0.701026907578318</v>
      </c>
      <c r="E66">
        <f t="shared" si="8"/>
        <v>0.0459534678550788</v>
      </c>
      <c r="F66" s="43">
        <f t="shared" si="9"/>
        <v>0.0459534678550788</v>
      </c>
      <c r="G66">
        <v>4.6</v>
      </c>
      <c r="H66" s="41">
        <v>3.064</v>
      </c>
    </row>
    <row r="67" spans="1:8">
      <c r="A67" s="30"/>
      <c r="B67">
        <v>0.524</v>
      </c>
      <c r="C67">
        <f t="shared" si="7"/>
        <v>0.685428311451969</v>
      </c>
      <c r="E67">
        <f t="shared" si="8"/>
        <v>0.0457156593480014</v>
      </c>
      <c r="F67" s="43">
        <f t="shared" si="9"/>
        <v>0.0457156593480014</v>
      </c>
      <c r="G67">
        <v>4.57</v>
      </c>
      <c r="H67" s="41">
        <v>3.012</v>
      </c>
    </row>
    <row r="68" spans="1:8">
      <c r="A68" s="30" t="s">
        <v>102</v>
      </c>
      <c r="B68">
        <v>0.373</v>
      </c>
      <c r="C68">
        <f t="shared" si="7"/>
        <v>0.489145976862082</v>
      </c>
      <c r="E68">
        <f t="shared" si="8"/>
        <v>0.0326038884339845</v>
      </c>
      <c r="F68" s="43">
        <f t="shared" si="9"/>
        <v>0.0326038884339845</v>
      </c>
      <c r="G68">
        <v>3.26</v>
      </c>
      <c r="H68" s="41">
        <v>3.01</v>
      </c>
    </row>
    <row r="69" spans="1:8">
      <c r="A69" s="30"/>
      <c r="B69">
        <v>0.369</v>
      </c>
      <c r="C69">
        <f t="shared" si="7"/>
        <v>0.483946444819966</v>
      </c>
      <c r="E69">
        <f t="shared" si="8"/>
        <v>0.0322757913566761</v>
      </c>
      <c r="F69" s="43">
        <f t="shared" si="9"/>
        <v>0.0322757913566761</v>
      </c>
      <c r="G69">
        <v>3.23</v>
      </c>
      <c r="H69" s="41">
        <v>3.008</v>
      </c>
    </row>
    <row r="70" spans="1:8">
      <c r="A70" s="30"/>
      <c r="B70">
        <v>0.377</v>
      </c>
      <c r="C70">
        <f t="shared" si="7"/>
        <v>0.494345508904199</v>
      </c>
      <c r="E70">
        <f t="shared" si="8"/>
        <v>0.0328076572653269</v>
      </c>
      <c r="F70" s="43">
        <f t="shared" si="9"/>
        <v>0.0328076572653269</v>
      </c>
      <c r="G70">
        <v>3.28</v>
      </c>
      <c r="H70" s="41">
        <v>3.023</v>
      </c>
    </row>
    <row r="71" spans="1:8">
      <c r="A71" s="30" t="s">
        <v>96</v>
      </c>
      <c r="B71">
        <v>0.505</v>
      </c>
      <c r="C71">
        <f t="shared" si="7"/>
        <v>0.660730534251917</v>
      </c>
      <c r="E71">
        <f t="shared" si="8"/>
        <v>0.0432462478126438</v>
      </c>
      <c r="F71" s="43">
        <f t="shared" si="9"/>
        <v>0.0432462478126438</v>
      </c>
      <c r="G71">
        <v>4.32</v>
      </c>
      <c r="H71" s="45">
        <v>3.063</v>
      </c>
    </row>
    <row r="72" spans="1:8">
      <c r="A72" s="30"/>
      <c r="B72">
        <v>0.499</v>
      </c>
      <c r="C72">
        <f t="shared" si="7"/>
        <v>0.652931236188743</v>
      </c>
      <c r="E72">
        <f t="shared" si="8"/>
        <v>0.0430103165630168</v>
      </c>
      <c r="F72" s="43">
        <f t="shared" si="9"/>
        <v>0.0430103165630168</v>
      </c>
      <c r="G72">
        <v>4.3</v>
      </c>
      <c r="H72" s="45">
        <v>3.044</v>
      </c>
    </row>
    <row r="73" spans="1:8">
      <c r="A73" s="30"/>
      <c r="B73">
        <v>0.489</v>
      </c>
      <c r="C73">
        <f t="shared" si="7"/>
        <v>0.639932406083452</v>
      </c>
      <c r="E73">
        <f t="shared" si="8"/>
        <v>0.0427234533049382</v>
      </c>
      <c r="F73" s="43">
        <f t="shared" si="9"/>
        <v>0.0427234533049382</v>
      </c>
      <c r="G73">
        <v>4.27</v>
      </c>
      <c r="H73" s="41">
        <v>3.003</v>
      </c>
    </row>
    <row r="74" spans="8:8">
      <c r="H74" s="41"/>
    </row>
    <row r="75" spans="1:10">
      <c r="A75" s="40" t="s">
        <v>61</v>
      </c>
      <c r="B75" s="1"/>
      <c r="C75" s="1"/>
      <c r="D75" s="1"/>
      <c r="E75" s="1"/>
      <c r="F75" s="1"/>
      <c r="G75" s="1"/>
      <c r="H75" s="1"/>
      <c r="I75" s="1"/>
      <c r="J75" s="1"/>
    </row>
    <row r="76" spans="1:9">
      <c r="A76" s="30" t="s">
        <v>26</v>
      </c>
      <c r="B76" s="30" t="s">
        <v>1</v>
      </c>
      <c r="C76" s="30" t="s">
        <v>52</v>
      </c>
      <c r="D76" s="30"/>
      <c r="E76" s="30" t="s">
        <v>103</v>
      </c>
      <c r="F76" s="30" t="s">
        <v>64</v>
      </c>
      <c r="I76" s="30" t="s">
        <v>61</v>
      </c>
    </row>
    <row r="77" spans="1:11">
      <c r="A77" s="30" t="s">
        <v>85</v>
      </c>
      <c r="B77">
        <v>0.172</v>
      </c>
      <c r="C77">
        <f>(B77-0.0138)/0.0056</f>
        <v>28.25</v>
      </c>
      <c r="D77" s="30"/>
      <c r="E77" s="1">
        <v>0.2037</v>
      </c>
      <c r="F77">
        <f>E77*1000</f>
        <v>203.7</v>
      </c>
      <c r="I77">
        <f>C77/F77</f>
        <v>0.138684339715268</v>
      </c>
      <c r="J77" s="43">
        <f>I77*1</f>
        <v>0.138684339715268</v>
      </c>
      <c r="K77">
        <v>13.87</v>
      </c>
    </row>
    <row r="78" spans="1:11">
      <c r="A78" s="30"/>
      <c r="B78">
        <v>0.174</v>
      </c>
      <c r="C78">
        <f t="shared" ref="C78:C79" si="11">(B78-0.0138)/0.0056</f>
        <v>28.6071428571429</v>
      </c>
      <c r="D78" s="30"/>
      <c r="E78">
        <v>0.2045</v>
      </c>
      <c r="F78">
        <f t="shared" ref="F78:F103" si="12">E78*1000</f>
        <v>204.5</v>
      </c>
      <c r="I78">
        <f t="shared" ref="I78:I103" si="13">C78/F78</f>
        <v>0.139888229130283</v>
      </c>
      <c r="J78" s="43">
        <f t="shared" ref="J78:J103" si="14">I78*1</f>
        <v>0.139888229130283</v>
      </c>
      <c r="K78">
        <v>13.99</v>
      </c>
    </row>
    <row r="79" spans="1:11">
      <c r="A79" s="30"/>
      <c r="B79">
        <v>0.17</v>
      </c>
      <c r="C79">
        <f t="shared" si="11"/>
        <v>27.8928571428571</v>
      </c>
      <c r="D79" s="30"/>
      <c r="E79">
        <v>0.2033</v>
      </c>
      <c r="F79">
        <f t="shared" si="12"/>
        <v>203.3</v>
      </c>
      <c r="I79">
        <f t="shared" si="13"/>
        <v>0.137200477830089</v>
      </c>
      <c r="J79" s="43">
        <f t="shared" si="14"/>
        <v>0.137200477830089</v>
      </c>
      <c r="K79">
        <v>13.72</v>
      </c>
    </row>
    <row r="80" spans="1:11">
      <c r="A80" s="30" t="s">
        <v>100</v>
      </c>
      <c r="B80">
        <v>0.146</v>
      </c>
      <c r="C80">
        <f t="shared" ref="C80:C103" si="15">(B80-0.0138)/0.0056</f>
        <v>23.6071428571429</v>
      </c>
      <c r="D80" s="30"/>
      <c r="E80" s="1">
        <v>0.2058</v>
      </c>
      <c r="F80">
        <f t="shared" si="12"/>
        <v>205.8</v>
      </c>
      <c r="I80">
        <f t="shared" si="13"/>
        <v>0.114709148965709</v>
      </c>
      <c r="J80" s="43">
        <f t="shared" si="14"/>
        <v>0.114709148965709</v>
      </c>
      <c r="K80">
        <v>11.47</v>
      </c>
    </row>
    <row r="81" spans="1:19">
      <c r="A81" s="30"/>
      <c r="B81">
        <v>0.149</v>
      </c>
      <c r="C81">
        <f t="shared" si="15"/>
        <v>24.1428571428571</v>
      </c>
      <c r="D81" s="30"/>
      <c r="E81">
        <v>0.2067</v>
      </c>
      <c r="F81">
        <f t="shared" si="12"/>
        <v>206.7</v>
      </c>
      <c r="I81">
        <f t="shared" si="13"/>
        <v>0.116801437556155</v>
      </c>
      <c r="J81" s="43">
        <f t="shared" si="14"/>
        <v>0.116801437556155</v>
      </c>
      <c r="K81">
        <v>11.68</v>
      </c>
      <c r="M81" s="30" t="s">
        <v>56</v>
      </c>
      <c r="N81" s="30" t="s">
        <v>86</v>
      </c>
      <c r="O81">
        <v>13.87</v>
      </c>
      <c r="P81">
        <v>13.99</v>
      </c>
      <c r="Q81">
        <v>13.72</v>
      </c>
      <c r="S81">
        <f>(O81+P81+Q81)/3</f>
        <v>13.86</v>
      </c>
    </row>
    <row r="82" spans="1:19">
      <c r="A82" s="30"/>
      <c r="B82">
        <v>0.146</v>
      </c>
      <c r="C82">
        <f t="shared" si="15"/>
        <v>23.6071428571429</v>
      </c>
      <c r="D82" s="30"/>
      <c r="E82">
        <v>0.2058</v>
      </c>
      <c r="F82">
        <f t="shared" si="12"/>
        <v>205.8</v>
      </c>
      <c r="I82">
        <f t="shared" si="13"/>
        <v>0.114709148965709</v>
      </c>
      <c r="J82" s="43">
        <f t="shared" si="14"/>
        <v>0.114709148965709</v>
      </c>
      <c r="K82">
        <v>11.47</v>
      </c>
      <c r="M82" s="30" t="s">
        <v>56</v>
      </c>
      <c r="N82" s="30" t="s">
        <v>88</v>
      </c>
      <c r="O82">
        <v>11.47</v>
      </c>
      <c r="P82">
        <v>11.68</v>
      </c>
      <c r="Q82">
        <v>11.47</v>
      </c>
      <c r="S82">
        <f t="shared" ref="S82:S89" si="16">(O82+P82+Q82)/3</f>
        <v>11.54</v>
      </c>
    </row>
    <row r="83" spans="1:19">
      <c r="A83" s="30" t="s">
        <v>89</v>
      </c>
      <c r="B83">
        <v>0.159</v>
      </c>
      <c r="C83">
        <f t="shared" si="15"/>
        <v>25.9285714285714</v>
      </c>
      <c r="D83" s="30"/>
      <c r="E83" s="1">
        <v>0.2023</v>
      </c>
      <c r="F83">
        <f t="shared" si="12"/>
        <v>202.3</v>
      </c>
      <c r="I83">
        <f t="shared" si="13"/>
        <v>0.128168914624673</v>
      </c>
      <c r="J83" s="43">
        <f t="shared" si="14"/>
        <v>0.128168914624673</v>
      </c>
      <c r="K83">
        <v>12.82</v>
      </c>
      <c r="M83" s="30" t="s">
        <v>56</v>
      </c>
      <c r="N83" s="30" t="s">
        <v>90</v>
      </c>
      <c r="O83">
        <v>12.82</v>
      </c>
      <c r="P83">
        <v>13.05</v>
      </c>
      <c r="Q83">
        <v>12.84</v>
      </c>
      <c r="S83">
        <f t="shared" si="16"/>
        <v>12.9033333333333</v>
      </c>
    </row>
    <row r="84" spans="1:19">
      <c r="A84" s="30"/>
      <c r="B84">
        <v>0.167</v>
      </c>
      <c r="C84">
        <f t="shared" si="15"/>
        <v>27.3571428571429</v>
      </c>
      <c r="D84" s="30"/>
      <c r="E84" s="1">
        <v>0.2096</v>
      </c>
      <c r="F84">
        <f t="shared" si="12"/>
        <v>209.6</v>
      </c>
      <c r="I84">
        <f t="shared" si="13"/>
        <v>0.130520719738277</v>
      </c>
      <c r="J84" s="43">
        <f t="shared" si="14"/>
        <v>0.130520719738277</v>
      </c>
      <c r="K84">
        <v>13.05</v>
      </c>
      <c r="M84" s="30" t="s">
        <v>57</v>
      </c>
      <c r="N84" s="30" t="s">
        <v>86</v>
      </c>
      <c r="O84">
        <v>13.81</v>
      </c>
      <c r="P84">
        <v>13.5</v>
      </c>
      <c r="Q84">
        <v>13.77</v>
      </c>
      <c r="S84">
        <f t="shared" si="16"/>
        <v>13.6933333333333</v>
      </c>
    </row>
    <row r="85" spans="1:19">
      <c r="A85" s="30"/>
      <c r="B85">
        <v>0.161</v>
      </c>
      <c r="C85">
        <f t="shared" si="15"/>
        <v>26.2857142857143</v>
      </c>
      <c r="D85" s="30"/>
      <c r="E85">
        <v>0.2047</v>
      </c>
      <c r="F85">
        <f t="shared" si="12"/>
        <v>204.7</v>
      </c>
      <c r="I85">
        <f t="shared" si="13"/>
        <v>0.128410914927769</v>
      </c>
      <c r="J85" s="43">
        <f t="shared" si="14"/>
        <v>0.128410914927769</v>
      </c>
      <c r="K85">
        <v>12.84</v>
      </c>
      <c r="M85" s="30" t="s">
        <v>57</v>
      </c>
      <c r="N85" s="30" t="s">
        <v>88</v>
      </c>
      <c r="O85">
        <v>11.57</v>
      </c>
      <c r="P85">
        <v>11.49</v>
      </c>
      <c r="Q85">
        <v>11.78</v>
      </c>
      <c r="S85">
        <f t="shared" si="16"/>
        <v>11.6133333333333</v>
      </c>
    </row>
    <row r="86" spans="1:19">
      <c r="A86" s="30" t="s">
        <v>91</v>
      </c>
      <c r="B86">
        <v>0.174</v>
      </c>
      <c r="C86">
        <f t="shared" si="15"/>
        <v>28.6071428571429</v>
      </c>
      <c r="D86" s="30"/>
      <c r="E86" s="1">
        <v>0.2072</v>
      </c>
      <c r="F86">
        <f t="shared" si="12"/>
        <v>207.2</v>
      </c>
      <c r="I86">
        <f t="shared" si="13"/>
        <v>0.138065361279647</v>
      </c>
      <c r="J86" s="43">
        <f t="shared" si="14"/>
        <v>0.138065361279647</v>
      </c>
      <c r="K86">
        <v>13.81</v>
      </c>
      <c r="M86" s="30" t="s">
        <v>57</v>
      </c>
      <c r="N86" s="30" t="s">
        <v>90</v>
      </c>
      <c r="O86">
        <v>12.46</v>
      </c>
      <c r="P86">
        <v>12.77</v>
      </c>
      <c r="Q86">
        <v>12.13</v>
      </c>
      <c r="S86">
        <f t="shared" si="16"/>
        <v>12.4533333333333</v>
      </c>
    </row>
    <row r="87" spans="1:19">
      <c r="A87" s="30"/>
      <c r="B87">
        <v>0.168</v>
      </c>
      <c r="C87">
        <f t="shared" si="15"/>
        <v>27.5357142857143</v>
      </c>
      <c r="D87" s="30"/>
      <c r="E87">
        <v>0.2039</v>
      </c>
      <c r="F87">
        <f t="shared" si="12"/>
        <v>203.9</v>
      </c>
      <c r="I87">
        <f t="shared" si="13"/>
        <v>0.135045190219295</v>
      </c>
      <c r="J87" s="43">
        <f t="shared" si="14"/>
        <v>0.135045190219295</v>
      </c>
      <c r="K87">
        <v>13.5</v>
      </c>
      <c r="M87" s="30" t="s">
        <v>59</v>
      </c>
      <c r="N87" s="30" t="s">
        <v>86</v>
      </c>
      <c r="O87">
        <v>12.59</v>
      </c>
      <c r="P87">
        <v>12.06</v>
      </c>
      <c r="Q87">
        <v>12.42</v>
      </c>
      <c r="S87">
        <f t="shared" si="16"/>
        <v>12.3566666666667</v>
      </c>
    </row>
    <row r="88" spans="1:19">
      <c r="A88" s="30"/>
      <c r="B88">
        <v>0.172</v>
      </c>
      <c r="C88">
        <f t="shared" si="15"/>
        <v>28.25</v>
      </c>
      <c r="D88" s="30"/>
      <c r="E88">
        <v>0.2052</v>
      </c>
      <c r="F88">
        <f t="shared" si="12"/>
        <v>205.2</v>
      </c>
      <c r="I88">
        <f t="shared" si="13"/>
        <v>0.137670565302144</v>
      </c>
      <c r="J88" s="43">
        <f t="shared" si="14"/>
        <v>0.137670565302144</v>
      </c>
      <c r="K88">
        <v>13.77</v>
      </c>
      <c r="M88" s="30" t="s">
        <v>59</v>
      </c>
      <c r="N88" s="30" t="s">
        <v>88</v>
      </c>
      <c r="O88">
        <v>10.45</v>
      </c>
      <c r="P88">
        <v>10.48</v>
      </c>
      <c r="Q88">
        <v>10.38</v>
      </c>
      <c r="S88">
        <f t="shared" si="16"/>
        <v>10.4366666666667</v>
      </c>
    </row>
    <row r="89" spans="1:19">
      <c r="A89" s="30" t="s">
        <v>101</v>
      </c>
      <c r="B89">
        <v>0.145</v>
      </c>
      <c r="C89">
        <f t="shared" si="15"/>
        <v>23.4285714285714</v>
      </c>
      <c r="D89" s="30"/>
      <c r="E89" s="1">
        <v>0.2025</v>
      </c>
      <c r="F89">
        <f t="shared" si="12"/>
        <v>202.5</v>
      </c>
      <c r="I89">
        <f t="shared" si="13"/>
        <v>0.115696649029982</v>
      </c>
      <c r="J89" s="43">
        <f t="shared" si="14"/>
        <v>0.115696649029982</v>
      </c>
      <c r="K89">
        <v>11.57</v>
      </c>
      <c r="M89" s="30" t="s">
        <v>59</v>
      </c>
      <c r="N89" s="30" t="s">
        <v>90</v>
      </c>
      <c r="O89">
        <v>11.13</v>
      </c>
      <c r="P89">
        <v>11.1</v>
      </c>
      <c r="Q89">
        <v>11.24</v>
      </c>
      <c r="S89">
        <f t="shared" si="16"/>
        <v>11.1566666666667</v>
      </c>
    </row>
    <row r="90" spans="1:11">
      <c r="A90" s="30"/>
      <c r="B90">
        <v>0.144</v>
      </c>
      <c r="C90">
        <f t="shared" si="15"/>
        <v>23.25</v>
      </c>
      <c r="D90" s="30"/>
      <c r="E90">
        <v>0.2023</v>
      </c>
      <c r="F90">
        <f t="shared" si="12"/>
        <v>202.3</v>
      </c>
      <c r="I90">
        <f t="shared" si="13"/>
        <v>0.114928324270885</v>
      </c>
      <c r="J90" s="43">
        <f t="shared" si="14"/>
        <v>0.114928324270885</v>
      </c>
      <c r="K90">
        <v>11.49</v>
      </c>
    </row>
    <row r="91" spans="1:11">
      <c r="A91" s="30"/>
      <c r="B91">
        <v>0.149</v>
      </c>
      <c r="C91">
        <f t="shared" si="15"/>
        <v>24.1428571428571</v>
      </c>
      <c r="D91" s="30"/>
      <c r="E91">
        <v>0.2049</v>
      </c>
      <c r="F91">
        <f t="shared" si="12"/>
        <v>204.9</v>
      </c>
      <c r="I91">
        <f t="shared" si="13"/>
        <v>0.117827511678171</v>
      </c>
      <c r="J91" s="43">
        <f t="shared" si="14"/>
        <v>0.117827511678171</v>
      </c>
      <c r="K91">
        <v>11.78</v>
      </c>
    </row>
    <row r="92" spans="1:11">
      <c r="A92" s="30" t="s">
        <v>93</v>
      </c>
      <c r="B92">
        <v>0.156</v>
      </c>
      <c r="C92">
        <f t="shared" si="15"/>
        <v>25.3928571428571</v>
      </c>
      <c r="D92" s="30"/>
      <c r="E92" s="1">
        <v>0.2038</v>
      </c>
      <c r="F92">
        <f t="shared" si="12"/>
        <v>203.8</v>
      </c>
      <c r="I92">
        <f t="shared" si="13"/>
        <v>0.12459694378242</v>
      </c>
      <c r="J92" s="43">
        <f t="shared" si="14"/>
        <v>0.12459694378242</v>
      </c>
      <c r="K92">
        <v>12.46</v>
      </c>
    </row>
    <row r="93" spans="1:11">
      <c r="A93" s="30"/>
      <c r="B93">
        <v>0.161</v>
      </c>
      <c r="C93">
        <f t="shared" si="15"/>
        <v>26.2857142857143</v>
      </c>
      <c r="D93" s="30"/>
      <c r="E93" s="1">
        <v>0.2059</v>
      </c>
      <c r="F93">
        <f t="shared" si="12"/>
        <v>205.9</v>
      </c>
      <c r="I93">
        <f t="shared" si="13"/>
        <v>0.127662526885451</v>
      </c>
      <c r="J93" s="43">
        <f t="shared" si="14"/>
        <v>0.127662526885451</v>
      </c>
      <c r="K93">
        <v>12.77</v>
      </c>
    </row>
    <row r="94" spans="1:11">
      <c r="A94" s="30"/>
      <c r="B94">
        <v>0.151</v>
      </c>
      <c r="C94">
        <f t="shared" si="15"/>
        <v>24.5</v>
      </c>
      <c r="D94" s="30"/>
      <c r="E94">
        <v>0.2019</v>
      </c>
      <c r="F94">
        <f t="shared" si="12"/>
        <v>201.9</v>
      </c>
      <c r="I94">
        <f t="shared" si="13"/>
        <v>0.121347201584943</v>
      </c>
      <c r="J94" s="43">
        <f t="shared" si="14"/>
        <v>0.121347201584943</v>
      </c>
      <c r="K94">
        <v>12.13</v>
      </c>
    </row>
    <row r="95" spans="1:11">
      <c r="A95" s="30" t="s">
        <v>94</v>
      </c>
      <c r="B95">
        <v>0.162</v>
      </c>
      <c r="C95">
        <f t="shared" si="15"/>
        <v>26.4642857142857</v>
      </c>
      <c r="D95" s="30"/>
      <c r="E95" s="1">
        <v>0.2102</v>
      </c>
      <c r="F95">
        <f t="shared" si="12"/>
        <v>210.2</v>
      </c>
      <c r="I95">
        <f t="shared" si="13"/>
        <v>0.125900502922387</v>
      </c>
      <c r="J95" s="43">
        <f t="shared" si="14"/>
        <v>0.125900502922387</v>
      </c>
      <c r="K95">
        <v>12.59</v>
      </c>
    </row>
    <row r="96" spans="1:11">
      <c r="A96" s="30"/>
      <c r="B96">
        <v>0.152</v>
      </c>
      <c r="C96">
        <f t="shared" si="15"/>
        <v>24.6785714285714</v>
      </c>
      <c r="D96" s="30"/>
      <c r="E96">
        <v>0.2046</v>
      </c>
      <c r="F96">
        <f t="shared" si="12"/>
        <v>204.6</v>
      </c>
      <c r="I96">
        <f t="shared" si="13"/>
        <v>0.120618628683145</v>
      </c>
      <c r="J96" s="43">
        <f t="shared" si="14"/>
        <v>0.120618628683145</v>
      </c>
      <c r="K96">
        <v>12.06</v>
      </c>
    </row>
    <row r="97" spans="1:11">
      <c r="A97" s="30"/>
      <c r="B97">
        <v>0.158</v>
      </c>
      <c r="C97">
        <f t="shared" si="15"/>
        <v>25.75</v>
      </c>
      <c r="D97" s="30"/>
      <c r="E97">
        <v>0.2073</v>
      </c>
      <c r="F97">
        <f t="shared" si="12"/>
        <v>207.3</v>
      </c>
      <c r="I97">
        <f t="shared" si="13"/>
        <v>0.124216111915099</v>
      </c>
      <c r="J97" s="43">
        <f t="shared" si="14"/>
        <v>0.124216111915099</v>
      </c>
      <c r="K97">
        <v>12.42</v>
      </c>
    </row>
    <row r="98" spans="1:11">
      <c r="A98" s="30" t="s">
        <v>102</v>
      </c>
      <c r="B98" s="44">
        <v>0.134</v>
      </c>
      <c r="C98">
        <f t="shared" si="15"/>
        <v>21.4642857142857</v>
      </c>
      <c r="D98" s="30"/>
      <c r="E98" s="1">
        <v>0.2054</v>
      </c>
      <c r="F98">
        <f t="shared" si="12"/>
        <v>205.4</v>
      </c>
      <c r="I98">
        <f t="shared" si="13"/>
        <v>0.104499930449298</v>
      </c>
      <c r="J98" s="43">
        <f t="shared" si="14"/>
        <v>0.104499930449298</v>
      </c>
      <c r="K98">
        <v>10.45</v>
      </c>
    </row>
    <row r="99" spans="1:11">
      <c r="A99" s="30"/>
      <c r="B99" s="44">
        <v>0.135</v>
      </c>
      <c r="C99">
        <f t="shared" si="15"/>
        <v>21.6428571428571</v>
      </c>
      <c r="D99" s="30"/>
      <c r="E99">
        <v>0.2066</v>
      </c>
      <c r="F99">
        <f t="shared" si="12"/>
        <v>206.6</v>
      </c>
      <c r="I99">
        <f t="shared" si="13"/>
        <v>0.104757294979947</v>
      </c>
      <c r="J99" s="43">
        <f t="shared" si="14"/>
        <v>0.104757294979947</v>
      </c>
      <c r="K99">
        <v>10.48</v>
      </c>
    </row>
    <row r="100" spans="1:11">
      <c r="A100" s="30"/>
      <c r="B100" s="44">
        <v>0.132</v>
      </c>
      <c r="C100">
        <f t="shared" si="15"/>
        <v>21.1071428571429</v>
      </c>
      <c r="D100" s="30"/>
      <c r="E100">
        <v>0.2034</v>
      </c>
      <c r="F100">
        <f t="shared" si="12"/>
        <v>203.4</v>
      </c>
      <c r="I100">
        <f t="shared" si="13"/>
        <v>0.103771597134429</v>
      </c>
      <c r="J100" s="43">
        <f t="shared" si="14"/>
        <v>0.103771597134429</v>
      </c>
      <c r="K100">
        <v>10.38</v>
      </c>
    </row>
    <row r="101" spans="1:11">
      <c r="A101" s="30" t="s">
        <v>96</v>
      </c>
      <c r="B101" s="44">
        <v>0.141</v>
      </c>
      <c r="C101">
        <f t="shared" si="15"/>
        <v>22.7142857142857</v>
      </c>
      <c r="D101" s="30"/>
      <c r="E101" s="50">
        <v>0.204</v>
      </c>
      <c r="F101">
        <f t="shared" si="12"/>
        <v>204</v>
      </c>
      <c r="I101">
        <f t="shared" si="13"/>
        <v>0.111344537815126</v>
      </c>
      <c r="J101" s="43">
        <f t="shared" si="14"/>
        <v>0.111344537815126</v>
      </c>
      <c r="K101">
        <v>11.13</v>
      </c>
    </row>
    <row r="102" spans="1:11">
      <c r="A102" s="30"/>
      <c r="B102" s="44">
        <v>0.14</v>
      </c>
      <c r="C102">
        <f t="shared" si="15"/>
        <v>22.5357142857143</v>
      </c>
      <c r="D102" s="30"/>
      <c r="E102" s="1">
        <v>0.2031</v>
      </c>
      <c r="F102">
        <f t="shared" si="12"/>
        <v>203.1</v>
      </c>
      <c r="I102">
        <f t="shared" si="13"/>
        <v>0.110958711401843</v>
      </c>
      <c r="J102" s="43">
        <f t="shared" si="14"/>
        <v>0.110958711401843</v>
      </c>
      <c r="K102">
        <v>11.1</v>
      </c>
    </row>
    <row r="103" spans="1:11">
      <c r="A103" s="30"/>
      <c r="B103" s="44">
        <v>0.144</v>
      </c>
      <c r="C103">
        <f t="shared" si="15"/>
        <v>23.25</v>
      </c>
      <c r="D103" s="30"/>
      <c r="E103">
        <v>0.2068</v>
      </c>
      <c r="F103">
        <f t="shared" si="12"/>
        <v>206.8</v>
      </c>
      <c r="I103">
        <f t="shared" si="13"/>
        <v>0.11242746615087</v>
      </c>
      <c r="J103" s="43">
        <f t="shared" si="14"/>
        <v>0.11242746615087</v>
      </c>
      <c r="K103">
        <v>11.24</v>
      </c>
    </row>
    <row r="105" spans="1:9">
      <c r="A105" s="40" t="s">
        <v>25</v>
      </c>
      <c r="B105" s="1"/>
      <c r="C105" s="1"/>
      <c r="D105" s="1"/>
      <c r="E105" s="1"/>
      <c r="F105" s="1"/>
      <c r="G105" s="1"/>
      <c r="H105" s="1"/>
      <c r="I105" s="1"/>
    </row>
    <row r="106" spans="1:19">
      <c r="A106" s="30" t="s">
        <v>26</v>
      </c>
      <c r="B106" s="30" t="s">
        <v>27</v>
      </c>
      <c r="C106" s="30" t="s">
        <v>104</v>
      </c>
      <c r="D106" s="30" t="s">
        <v>26</v>
      </c>
      <c r="E106" s="30" t="s">
        <v>105</v>
      </c>
      <c r="F106" s="30" t="s">
        <v>106</v>
      </c>
      <c r="G106" s="30" t="s">
        <v>31</v>
      </c>
      <c r="I106" s="30" t="s">
        <v>107</v>
      </c>
      <c r="N106" s="30" t="s">
        <v>56</v>
      </c>
      <c r="O106" s="30" t="s">
        <v>86</v>
      </c>
      <c r="P106">
        <v>3.16</v>
      </c>
      <c r="Q106">
        <v>3.12</v>
      </c>
      <c r="R106">
        <v>3.13</v>
      </c>
      <c r="S106">
        <f>(P106+Q106+R106)/3</f>
        <v>3.13666666666667</v>
      </c>
    </row>
    <row r="107" spans="1:19">
      <c r="A107" s="30" t="s">
        <v>85</v>
      </c>
      <c r="B107">
        <v>40.748</v>
      </c>
      <c r="C107">
        <v>45.754</v>
      </c>
      <c r="D107">
        <f>C107-B107</f>
        <v>5.006</v>
      </c>
      <c r="E107">
        <v>45.596</v>
      </c>
      <c r="F107">
        <f>E107-B107</f>
        <v>4.848</v>
      </c>
      <c r="G107">
        <f>(D107-F107)/D107</f>
        <v>0.0315621254494609</v>
      </c>
      <c r="H107" s="43">
        <f>G107*1</f>
        <v>0.0315621254494609</v>
      </c>
      <c r="I107">
        <f>(D107-G107)/D107</f>
        <v>0.993695140741218</v>
      </c>
      <c r="N107" s="30" t="s">
        <v>56</v>
      </c>
      <c r="O107" s="30" t="s">
        <v>88</v>
      </c>
      <c r="P107">
        <v>1.48</v>
      </c>
      <c r="Q107">
        <v>1.56</v>
      </c>
      <c r="R107">
        <v>1.62</v>
      </c>
      <c r="S107">
        <f t="shared" ref="S107:S114" si="17">(P107+Q107+R107)/3</f>
        <v>1.55333333333333</v>
      </c>
    </row>
    <row r="108" spans="1:19">
      <c r="A108" s="30"/>
      <c r="B108">
        <v>41.257</v>
      </c>
      <c r="C108">
        <v>46.261</v>
      </c>
      <c r="D108">
        <f>C108-B108</f>
        <v>5.004</v>
      </c>
      <c r="E108">
        <v>46.105</v>
      </c>
      <c r="F108">
        <f t="shared" ref="F108:F133" si="18">E108-B108</f>
        <v>4.848</v>
      </c>
      <c r="G108">
        <f t="shared" ref="G108:G109" si="19">(D108-F108)/D108</f>
        <v>0.0311750599520395</v>
      </c>
      <c r="H108" s="43">
        <f t="shared" ref="H108:H109" si="20">G108*1</f>
        <v>0.0311750599520395</v>
      </c>
      <c r="I108">
        <f t="shared" ref="I108:I109" si="21">(D108-G108)/D108</f>
        <v>0.993769972031966</v>
      </c>
      <c r="N108" s="30" t="s">
        <v>56</v>
      </c>
      <c r="O108" s="30" t="s">
        <v>90</v>
      </c>
      <c r="P108">
        <v>2.1</v>
      </c>
      <c r="Q108">
        <v>2.04</v>
      </c>
      <c r="R108">
        <v>2.05</v>
      </c>
      <c r="S108">
        <f t="shared" si="17"/>
        <v>2.06333333333333</v>
      </c>
    </row>
    <row r="109" spans="1:19">
      <c r="A109" s="30"/>
      <c r="B109">
        <v>40.638</v>
      </c>
      <c r="C109">
        <v>45.654</v>
      </c>
      <c r="D109">
        <f>C109-B109</f>
        <v>5.01600000000001</v>
      </c>
      <c r="E109">
        <v>45.497</v>
      </c>
      <c r="F109">
        <f t="shared" si="18"/>
        <v>4.859</v>
      </c>
      <c r="G109">
        <f t="shared" si="19"/>
        <v>0.0312998405103675</v>
      </c>
      <c r="H109" s="43">
        <f t="shared" si="20"/>
        <v>0.0312998405103675</v>
      </c>
      <c r="I109">
        <f t="shared" si="21"/>
        <v>0.993759999898252</v>
      </c>
      <c r="N109" s="30" t="s">
        <v>57</v>
      </c>
      <c r="O109" s="30" t="s">
        <v>86</v>
      </c>
      <c r="P109">
        <v>2.89</v>
      </c>
      <c r="Q109">
        <v>2.94</v>
      </c>
      <c r="R109">
        <v>2.87</v>
      </c>
      <c r="S109">
        <f t="shared" si="17"/>
        <v>2.9</v>
      </c>
    </row>
    <row r="110" spans="1:19">
      <c r="A110" s="30" t="s">
        <v>100</v>
      </c>
      <c r="B110">
        <v>44.417</v>
      </c>
      <c r="C110">
        <v>49.42</v>
      </c>
      <c r="D110">
        <f t="shared" ref="D110:D133" si="22">C110-B110</f>
        <v>5.003</v>
      </c>
      <c r="E110" s="30">
        <v>49.346</v>
      </c>
      <c r="F110">
        <f t="shared" si="18"/>
        <v>4.92899999999999</v>
      </c>
      <c r="G110">
        <f t="shared" ref="G110:G130" si="23">(D110-F110)/D110</f>
        <v>0.0147911253248062</v>
      </c>
      <c r="H110" s="43">
        <f t="shared" ref="H110:H133" si="24">G110*1</f>
        <v>0.0147911253248062</v>
      </c>
      <c r="I110">
        <f t="shared" ref="I110:I133" si="25">(D110-G110)/D110</f>
        <v>0.997043548805755</v>
      </c>
      <c r="N110" s="30" t="s">
        <v>57</v>
      </c>
      <c r="O110" s="30" t="s">
        <v>88</v>
      </c>
      <c r="P110">
        <v>2</v>
      </c>
      <c r="Q110">
        <v>1.94</v>
      </c>
      <c r="R110">
        <v>1.98</v>
      </c>
      <c r="S110">
        <f t="shared" si="17"/>
        <v>1.97333333333333</v>
      </c>
    </row>
    <row r="111" spans="1:19">
      <c r="A111" s="30"/>
      <c r="B111">
        <v>42.269</v>
      </c>
      <c r="C111">
        <v>47.266</v>
      </c>
      <c r="D111">
        <f t="shared" si="22"/>
        <v>4.997</v>
      </c>
      <c r="E111" s="30">
        <v>47.188</v>
      </c>
      <c r="F111">
        <f t="shared" si="18"/>
        <v>4.919</v>
      </c>
      <c r="G111">
        <f t="shared" si="23"/>
        <v>0.0156093656193708</v>
      </c>
      <c r="H111" s="43">
        <f t="shared" si="24"/>
        <v>0.0156093656193708</v>
      </c>
      <c r="I111">
        <f t="shared" si="25"/>
        <v>0.996876252627703</v>
      </c>
      <c r="N111" s="30" t="s">
        <v>57</v>
      </c>
      <c r="O111" s="30" t="s">
        <v>90</v>
      </c>
      <c r="P111">
        <v>1.68</v>
      </c>
      <c r="Q111">
        <v>1.52</v>
      </c>
      <c r="R111">
        <v>1.66</v>
      </c>
      <c r="S111">
        <f t="shared" si="17"/>
        <v>1.62</v>
      </c>
    </row>
    <row r="112" spans="1:19">
      <c r="A112" s="30"/>
      <c r="B112">
        <v>39.434</v>
      </c>
      <c r="C112">
        <v>44.446</v>
      </c>
      <c r="D112">
        <f t="shared" si="22"/>
        <v>5.012</v>
      </c>
      <c r="E112" s="30">
        <v>44.365</v>
      </c>
      <c r="F112">
        <f t="shared" si="18"/>
        <v>4.931</v>
      </c>
      <c r="G112">
        <f t="shared" si="23"/>
        <v>0.0161612130885866</v>
      </c>
      <c r="H112" s="43">
        <f t="shared" si="24"/>
        <v>0.0161612130885866</v>
      </c>
      <c r="I112">
        <f t="shared" si="25"/>
        <v>0.996775496191423</v>
      </c>
      <c r="N112" s="30" t="s">
        <v>59</v>
      </c>
      <c r="O112" s="30" t="s">
        <v>86</v>
      </c>
      <c r="P112">
        <v>2.23</v>
      </c>
      <c r="Q112">
        <v>2.12</v>
      </c>
      <c r="R112">
        <v>2.22</v>
      </c>
      <c r="S112">
        <f t="shared" si="17"/>
        <v>2.19</v>
      </c>
    </row>
    <row r="113" spans="1:19">
      <c r="A113" s="30" t="s">
        <v>89</v>
      </c>
      <c r="B113" s="30">
        <v>41.663</v>
      </c>
      <c r="C113" s="30">
        <v>46.672</v>
      </c>
      <c r="D113">
        <f t="shared" si="22"/>
        <v>5.009</v>
      </c>
      <c r="E113" s="30">
        <v>46.567</v>
      </c>
      <c r="F113">
        <f t="shared" si="18"/>
        <v>4.904</v>
      </c>
      <c r="G113">
        <f>(C113-E113)/D113</f>
        <v>0.0209622679177474</v>
      </c>
      <c r="H113" s="43">
        <f t="shared" si="24"/>
        <v>0.0209622679177474</v>
      </c>
      <c r="I113">
        <f t="shared" si="25"/>
        <v>0.995815079273758</v>
      </c>
      <c r="N113" s="30" t="s">
        <v>59</v>
      </c>
      <c r="O113" s="30" t="s">
        <v>88</v>
      </c>
      <c r="P113">
        <v>1.58</v>
      </c>
      <c r="Q113">
        <v>1.53</v>
      </c>
      <c r="R113">
        <v>1.56</v>
      </c>
      <c r="S113">
        <f t="shared" si="17"/>
        <v>1.55666666666667</v>
      </c>
    </row>
    <row r="114" spans="1:19">
      <c r="A114" s="30"/>
      <c r="B114" s="30">
        <v>39.594</v>
      </c>
      <c r="C114" s="30">
        <v>44.591</v>
      </c>
      <c r="D114">
        <f t="shared" si="22"/>
        <v>4.997</v>
      </c>
      <c r="E114" s="30">
        <v>44.489</v>
      </c>
      <c r="F114">
        <f t="shared" si="18"/>
        <v>4.895</v>
      </c>
      <c r="G114">
        <f t="shared" ref="G114:G115" si="26">(C114-E114)/D114</f>
        <v>0.0204122473484098</v>
      </c>
      <c r="H114" s="43">
        <f t="shared" si="24"/>
        <v>0.0204122473484098</v>
      </c>
      <c r="I114">
        <f t="shared" ref="I114:I115" si="27">(D114-G114)/D114</f>
        <v>0.995915099590072</v>
      </c>
      <c r="N114" s="30" t="s">
        <v>59</v>
      </c>
      <c r="O114" s="30" t="s">
        <v>90</v>
      </c>
      <c r="P114">
        <v>1.2</v>
      </c>
      <c r="Q114">
        <v>1.29</v>
      </c>
      <c r="R114">
        <v>1.22</v>
      </c>
      <c r="S114">
        <f t="shared" si="17"/>
        <v>1.23666666666667</v>
      </c>
    </row>
    <row r="115" spans="1:9">
      <c r="A115" s="30"/>
      <c r="B115" s="30">
        <v>40.228</v>
      </c>
      <c r="C115" s="30">
        <v>45.251</v>
      </c>
      <c r="D115">
        <f t="shared" si="22"/>
        <v>5.023</v>
      </c>
      <c r="E115" s="30">
        <v>45.148</v>
      </c>
      <c r="F115">
        <f t="shared" si="18"/>
        <v>4.92</v>
      </c>
      <c r="G115">
        <f t="shared" si="26"/>
        <v>0.0205056739000586</v>
      </c>
      <c r="H115" s="43">
        <f t="shared" si="24"/>
        <v>0.0205056739000586</v>
      </c>
      <c r="I115">
        <f t="shared" si="27"/>
        <v>0.995917644057325</v>
      </c>
    </row>
    <row r="116" spans="1:9">
      <c r="A116" s="30" t="s">
        <v>91</v>
      </c>
      <c r="B116">
        <v>39.546</v>
      </c>
      <c r="C116">
        <v>44.566</v>
      </c>
      <c r="D116">
        <f t="shared" si="22"/>
        <v>5.02</v>
      </c>
      <c r="E116">
        <v>44.421</v>
      </c>
      <c r="F116">
        <f t="shared" si="18"/>
        <v>4.875</v>
      </c>
      <c r="G116">
        <f t="shared" si="23"/>
        <v>0.028884462151395</v>
      </c>
      <c r="H116" s="43">
        <f t="shared" si="24"/>
        <v>0.028884462151395</v>
      </c>
      <c r="I116">
        <f t="shared" si="25"/>
        <v>0.994246123077411</v>
      </c>
    </row>
    <row r="117" spans="1:17">
      <c r="A117" s="30"/>
      <c r="B117">
        <v>42.336</v>
      </c>
      <c r="C117">
        <v>47.366</v>
      </c>
      <c r="D117">
        <f t="shared" si="22"/>
        <v>5.03</v>
      </c>
      <c r="E117">
        <v>47.218</v>
      </c>
      <c r="F117">
        <f t="shared" si="18"/>
        <v>4.88200000000001</v>
      </c>
      <c r="G117">
        <f t="shared" si="23"/>
        <v>0.029423459244532</v>
      </c>
      <c r="H117" s="43">
        <f t="shared" si="24"/>
        <v>0.029423459244532</v>
      </c>
      <c r="I117">
        <f t="shared" si="25"/>
        <v>0.994150405716793</v>
      </c>
      <c r="Q117" s="30" t="s">
        <v>108</v>
      </c>
    </row>
    <row r="118" spans="1:9">
      <c r="A118" s="30"/>
      <c r="B118">
        <v>41.557</v>
      </c>
      <c r="C118">
        <v>46.566</v>
      </c>
      <c r="D118">
        <f t="shared" si="22"/>
        <v>5.009</v>
      </c>
      <c r="E118">
        <v>46.422</v>
      </c>
      <c r="F118">
        <f t="shared" si="18"/>
        <v>4.86499999999999</v>
      </c>
      <c r="G118">
        <f t="shared" si="23"/>
        <v>0.0287482531443413</v>
      </c>
      <c r="H118" s="43">
        <f t="shared" si="24"/>
        <v>0.0287482531443413</v>
      </c>
      <c r="I118">
        <f t="shared" si="25"/>
        <v>0.994260680146867</v>
      </c>
    </row>
    <row r="119" spans="1:9">
      <c r="A119" s="30" t="s">
        <v>101</v>
      </c>
      <c r="B119">
        <v>43.298</v>
      </c>
      <c r="C119">
        <v>48.297</v>
      </c>
      <c r="D119">
        <f t="shared" si="22"/>
        <v>4.999</v>
      </c>
      <c r="E119">
        <v>48.197</v>
      </c>
      <c r="F119">
        <f t="shared" si="18"/>
        <v>4.899</v>
      </c>
      <c r="G119">
        <f t="shared" si="23"/>
        <v>0.0200040008001589</v>
      </c>
      <c r="H119" s="43">
        <f t="shared" si="24"/>
        <v>0.0200040008001589</v>
      </c>
      <c r="I119">
        <f t="shared" si="25"/>
        <v>0.995998399519872</v>
      </c>
    </row>
    <row r="120" spans="1:9">
      <c r="A120" s="30"/>
      <c r="B120">
        <v>39.233</v>
      </c>
      <c r="C120">
        <v>44.237</v>
      </c>
      <c r="D120">
        <f t="shared" si="22"/>
        <v>5.004</v>
      </c>
      <c r="E120">
        <v>44.14</v>
      </c>
      <c r="F120">
        <f t="shared" si="18"/>
        <v>4.907</v>
      </c>
      <c r="G120">
        <f t="shared" si="23"/>
        <v>0.0193844924060754</v>
      </c>
      <c r="H120" s="43">
        <f t="shared" si="24"/>
        <v>0.0193844924060754</v>
      </c>
      <c r="I120">
        <f t="shared" si="25"/>
        <v>0.996126200558338</v>
      </c>
    </row>
    <row r="121" spans="1:9">
      <c r="A121" s="30"/>
      <c r="B121">
        <v>41.667</v>
      </c>
      <c r="C121">
        <v>46.678</v>
      </c>
      <c r="D121">
        <f t="shared" si="22"/>
        <v>5.011</v>
      </c>
      <c r="E121">
        <v>46.579</v>
      </c>
      <c r="F121">
        <f t="shared" si="18"/>
        <v>4.912</v>
      </c>
      <c r="G121">
        <f t="shared" si="23"/>
        <v>0.0197565356216318</v>
      </c>
      <c r="H121" s="43">
        <f t="shared" si="24"/>
        <v>0.0197565356216318</v>
      </c>
      <c r="I121">
        <f t="shared" si="25"/>
        <v>0.996057366669002</v>
      </c>
    </row>
    <row r="122" spans="1:9">
      <c r="A122" s="30" t="s">
        <v>93</v>
      </c>
      <c r="B122" s="30">
        <v>41.547</v>
      </c>
      <c r="C122" s="30">
        <v>46.554</v>
      </c>
      <c r="D122">
        <f t="shared" si="22"/>
        <v>5.00700000000001</v>
      </c>
      <c r="E122" s="51">
        <v>46.47</v>
      </c>
      <c r="F122">
        <f t="shared" si="18"/>
        <v>4.923</v>
      </c>
      <c r="G122">
        <f>(C122-E122)/D122</f>
        <v>0.0167765128819659</v>
      </c>
      <c r="H122" s="43">
        <f t="shared" si="24"/>
        <v>0.0167765128819659</v>
      </c>
      <c r="I122">
        <f t="shared" si="25"/>
        <v>0.996649388280015</v>
      </c>
    </row>
    <row r="123" spans="1:9">
      <c r="A123" s="30"/>
      <c r="B123" s="30">
        <v>42.574</v>
      </c>
      <c r="C123" s="30">
        <v>47.565</v>
      </c>
      <c r="D123">
        <f t="shared" si="22"/>
        <v>4.991</v>
      </c>
      <c r="E123" s="30">
        <v>47.489</v>
      </c>
      <c r="F123">
        <f t="shared" si="18"/>
        <v>4.915</v>
      </c>
      <c r="G123">
        <f t="shared" ref="G123:G124" si="28">(C123-E123)/D123</f>
        <v>0.0152274093368064</v>
      </c>
      <c r="H123" s="43">
        <f t="shared" si="24"/>
        <v>0.0152274093368064</v>
      </c>
      <c r="I123">
        <f t="shared" si="25"/>
        <v>0.996949026380123</v>
      </c>
    </row>
    <row r="124" spans="1:9">
      <c r="A124" s="30"/>
      <c r="B124" s="30">
        <v>41.441</v>
      </c>
      <c r="C124" s="30">
        <v>46.452</v>
      </c>
      <c r="D124">
        <f t="shared" si="22"/>
        <v>5.011</v>
      </c>
      <c r="E124" s="30">
        <v>46.369</v>
      </c>
      <c r="F124">
        <f t="shared" si="18"/>
        <v>4.928</v>
      </c>
      <c r="G124">
        <f t="shared" si="28"/>
        <v>0.0165635601676309</v>
      </c>
      <c r="H124" s="43">
        <f t="shared" si="24"/>
        <v>0.0165635601676309</v>
      </c>
      <c r="I124">
        <f t="shared" si="25"/>
        <v>0.996694559934618</v>
      </c>
    </row>
    <row r="125" spans="1:9">
      <c r="A125" s="30" t="s">
        <v>94</v>
      </c>
      <c r="B125">
        <v>42.587</v>
      </c>
      <c r="C125">
        <v>47.603</v>
      </c>
      <c r="D125">
        <f t="shared" si="22"/>
        <v>5.016</v>
      </c>
      <c r="E125">
        <v>47.491</v>
      </c>
      <c r="F125">
        <f t="shared" si="18"/>
        <v>4.904</v>
      </c>
      <c r="G125">
        <f t="shared" si="23"/>
        <v>0.0223285486443385</v>
      </c>
      <c r="H125" s="43">
        <f t="shared" si="24"/>
        <v>0.0223285486443385</v>
      </c>
      <c r="I125">
        <f t="shared" si="25"/>
        <v>0.995548534959263</v>
      </c>
    </row>
    <row r="126" spans="1:9">
      <c r="A126" s="30"/>
      <c r="B126">
        <v>40.375</v>
      </c>
      <c r="C126">
        <v>45.379</v>
      </c>
      <c r="D126">
        <f t="shared" si="22"/>
        <v>5.004</v>
      </c>
      <c r="E126">
        <v>45.273</v>
      </c>
      <c r="F126">
        <f t="shared" si="18"/>
        <v>4.898</v>
      </c>
      <c r="G126">
        <f t="shared" si="23"/>
        <v>0.0211830535571532</v>
      </c>
      <c r="H126" s="43">
        <f t="shared" si="24"/>
        <v>0.0211830535571532</v>
      </c>
      <c r="I126">
        <f t="shared" si="25"/>
        <v>0.995766775867875</v>
      </c>
    </row>
    <row r="127" spans="1:9">
      <c r="A127" s="30"/>
      <c r="B127">
        <v>41.204</v>
      </c>
      <c r="C127">
        <v>46.21</v>
      </c>
      <c r="D127">
        <f t="shared" si="22"/>
        <v>5.006</v>
      </c>
      <c r="E127">
        <v>46.099</v>
      </c>
      <c r="F127">
        <f t="shared" si="18"/>
        <v>4.895</v>
      </c>
      <c r="G127">
        <f t="shared" si="23"/>
        <v>0.0221733919296852</v>
      </c>
      <c r="H127" s="43">
        <f t="shared" si="24"/>
        <v>0.0221733919296852</v>
      </c>
      <c r="I127">
        <f t="shared" si="25"/>
        <v>0.995570636849843</v>
      </c>
    </row>
    <row r="128" spans="1:9">
      <c r="A128" s="30" t="s">
        <v>102</v>
      </c>
      <c r="B128">
        <v>41.523</v>
      </c>
      <c r="C128">
        <v>46.536</v>
      </c>
      <c r="D128">
        <f t="shared" si="22"/>
        <v>5.013</v>
      </c>
      <c r="E128">
        <v>46.457</v>
      </c>
      <c r="F128">
        <f t="shared" si="18"/>
        <v>4.934</v>
      </c>
      <c r="G128">
        <f t="shared" si="23"/>
        <v>0.0157590265310195</v>
      </c>
      <c r="H128" s="43">
        <f t="shared" si="24"/>
        <v>0.0157590265310195</v>
      </c>
      <c r="I128">
        <f t="shared" si="25"/>
        <v>0.996856368136641</v>
      </c>
    </row>
    <row r="129" spans="1:9">
      <c r="A129" s="30"/>
      <c r="B129">
        <v>39.752</v>
      </c>
      <c r="C129">
        <v>44.775</v>
      </c>
      <c r="D129">
        <f t="shared" si="22"/>
        <v>5.023</v>
      </c>
      <c r="E129">
        <v>44.698</v>
      </c>
      <c r="F129">
        <f t="shared" si="18"/>
        <v>4.946</v>
      </c>
      <c r="G129">
        <f t="shared" si="23"/>
        <v>0.015329484371889</v>
      </c>
      <c r="H129" s="43">
        <f t="shared" si="24"/>
        <v>0.015329484371889</v>
      </c>
      <c r="I129">
        <f t="shared" si="25"/>
        <v>0.996948141673922</v>
      </c>
    </row>
    <row r="130" spans="1:9">
      <c r="A130" s="30"/>
      <c r="B130">
        <v>44.553</v>
      </c>
      <c r="C130">
        <v>49.561</v>
      </c>
      <c r="D130">
        <f t="shared" si="22"/>
        <v>5.008</v>
      </c>
      <c r="E130">
        <v>49.483</v>
      </c>
      <c r="F130">
        <f t="shared" si="18"/>
        <v>4.93</v>
      </c>
      <c r="G130">
        <f t="shared" si="23"/>
        <v>0.0155750798722051</v>
      </c>
      <c r="H130" s="43">
        <f t="shared" si="24"/>
        <v>0.0155750798722051</v>
      </c>
      <c r="I130">
        <f t="shared" si="25"/>
        <v>0.996889960089416</v>
      </c>
    </row>
    <row r="131" spans="1:9">
      <c r="A131" s="30" t="s">
        <v>96</v>
      </c>
      <c r="B131" s="30">
        <v>43.894</v>
      </c>
      <c r="C131" s="30">
        <v>48.9</v>
      </c>
      <c r="D131">
        <f t="shared" si="22"/>
        <v>5.006</v>
      </c>
      <c r="E131" s="30">
        <v>48.84</v>
      </c>
      <c r="F131">
        <f t="shared" si="18"/>
        <v>4.94600000000001</v>
      </c>
      <c r="G131">
        <f>(C131-E131)/D131</f>
        <v>0.0119856172592879</v>
      </c>
      <c r="H131" s="43">
        <f t="shared" si="24"/>
        <v>0.0119856172592879</v>
      </c>
      <c r="I131">
        <f t="shared" si="25"/>
        <v>0.997605749648564</v>
      </c>
    </row>
    <row r="132" spans="1:9">
      <c r="A132" s="30"/>
      <c r="B132" s="30">
        <v>38.629</v>
      </c>
      <c r="C132" s="30">
        <v>43.653</v>
      </c>
      <c r="D132">
        <f t="shared" si="22"/>
        <v>5.024</v>
      </c>
      <c r="E132" s="30">
        <v>43.588</v>
      </c>
      <c r="F132">
        <f t="shared" si="18"/>
        <v>4.959</v>
      </c>
      <c r="G132">
        <f t="shared" ref="G132:G133" si="29">(C132-E132)/D132</f>
        <v>0.0129378980891715</v>
      </c>
      <c r="H132" s="43">
        <f t="shared" si="24"/>
        <v>0.0129378980891715</v>
      </c>
      <c r="I132">
        <f t="shared" si="25"/>
        <v>0.997424781431295</v>
      </c>
    </row>
    <row r="133" spans="1:9">
      <c r="A133" s="30"/>
      <c r="B133" s="30">
        <v>41.369</v>
      </c>
      <c r="C133" s="30">
        <v>46.377</v>
      </c>
      <c r="D133">
        <f t="shared" si="22"/>
        <v>5.008</v>
      </c>
      <c r="E133" s="30">
        <v>46.316</v>
      </c>
      <c r="F133">
        <f t="shared" si="18"/>
        <v>4.947</v>
      </c>
      <c r="G133">
        <f t="shared" si="29"/>
        <v>0.0121805111821086</v>
      </c>
      <c r="H133" s="43">
        <f t="shared" si="24"/>
        <v>0.0121805111821086</v>
      </c>
      <c r="I133">
        <f t="shared" si="25"/>
        <v>0.997567789300697</v>
      </c>
    </row>
    <row r="135" spans="1:9">
      <c r="A135" s="40" t="s">
        <v>41</v>
      </c>
      <c r="B135" s="1"/>
      <c r="C135" s="1"/>
      <c r="D135" s="1"/>
      <c r="E135" s="1"/>
      <c r="F135" s="1"/>
      <c r="G135" s="1"/>
      <c r="H135" s="1"/>
      <c r="I135" s="1"/>
    </row>
    <row r="136" spans="1:7">
      <c r="A136" s="30" t="s">
        <v>26</v>
      </c>
      <c r="B136" s="30" t="s">
        <v>99</v>
      </c>
      <c r="C136" s="30" t="s">
        <v>43</v>
      </c>
      <c r="D136" s="30" t="s">
        <v>109</v>
      </c>
      <c r="E136" s="30" t="s">
        <v>110</v>
      </c>
      <c r="G136" s="30" t="s">
        <v>2</v>
      </c>
    </row>
    <row r="137" spans="1:8">
      <c r="A137" s="30" t="s">
        <v>85</v>
      </c>
      <c r="B137" s="52">
        <v>3.048</v>
      </c>
      <c r="C137" s="52">
        <v>39.441</v>
      </c>
      <c r="D137" s="52">
        <v>41.2443</v>
      </c>
      <c r="E137" s="52">
        <f>D137-C137</f>
        <v>1.8033</v>
      </c>
      <c r="F137" s="52"/>
      <c r="G137" s="52">
        <f>1-E137/(B137*I107)</f>
        <v>0.404612306117947</v>
      </c>
      <c r="H137" s="53">
        <f>G137*1</f>
        <v>0.404612306117947</v>
      </c>
    </row>
    <row r="138" spans="1:8">
      <c r="A138" s="30"/>
      <c r="B138">
        <v>3.032</v>
      </c>
      <c r="C138">
        <v>40.024</v>
      </c>
      <c r="D138">
        <v>41.826</v>
      </c>
      <c r="E138">
        <f t="shared" ref="E138:E139" si="30">D138-C138</f>
        <v>1.802</v>
      </c>
      <c r="G138">
        <f t="shared" ref="G138:G140" si="31">1-E138/(B138*I108)</f>
        <v>0.401946935903307</v>
      </c>
      <c r="H138" s="43">
        <f t="shared" ref="H138:H139" si="32">G138*1</f>
        <v>0.401946935903307</v>
      </c>
    </row>
    <row r="139" spans="1:8">
      <c r="A139" s="30"/>
      <c r="B139">
        <v>3.013</v>
      </c>
      <c r="C139">
        <v>41.446</v>
      </c>
      <c r="D139">
        <v>43.242</v>
      </c>
      <c r="E139">
        <f t="shared" si="30"/>
        <v>1.796</v>
      </c>
      <c r="G139">
        <f t="shared" si="31"/>
        <v>0.400173444663139</v>
      </c>
      <c r="H139" s="43">
        <f t="shared" si="32"/>
        <v>0.400173444663139</v>
      </c>
    </row>
    <row r="140" spans="1:9">
      <c r="A140" s="30" t="s">
        <v>100</v>
      </c>
      <c r="B140" s="52">
        <v>3.005</v>
      </c>
      <c r="C140" s="54">
        <v>39.422</v>
      </c>
      <c r="D140" s="52">
        <v>41.168</v>
      </c>
      <c r="E140" s="52">
        <f t="shared" ref="E140:E158" si="33">D140-C140</f>
        <v>1.746</v>
      </c>
      <c r="F140" s="52"/>
      <c r="G140" s="52">
        <f t="shared" si="31"/>
        <v>0.417245500788147</v>
      </c>
      <c r="H140" s="53">
        <f t="shared" ref="H140:H158" si="34">G140*1</f>
        <v>0.417245500788147</v>
      </c>
      <c r="I140">
        <v>41.72</v>
      </c>
    </row>
    <row r="141" spans="1:18">
      <c r="A141" s="30"/>
      <c r="B141">
        <v>3.012</v>
      </c>
      <c r="C141" s="42">
        <v>40.573</v>
      </c>
      <c r="D141">
        <v>42.329</v>
      </c>
      <c r="E141">
        <f t="shared" ref="E141:E145" si="35">D141-C141</f>
        <v>1.756</v>
      </c>
      <c r="G141">
        <f t="shared" ref="G141:G146" si="36">1-E141/(B141*I111)</f>
        <v>0.415171816477227</v>
      </c>
      <c r="H141" s="43">
        <f t="shared" ref="H141:H145" si="37">G141*1</f>
        <v>0.415171816477227</v>
      </c>
      <c r="I141">
        <v>41.52</v>
      </c>
      <c r="M141" s="30" t="s">
        <v>56</v>
      </c>
      <c r="N141" s="30" t="s">
        <v>86</v>
      </c>
      <c r="O141">
        <v>40.46</v>
      </c>
      <c r="P141">
        <v>40.19</v>
      </c>
      <c r="Q141">
        <v>40.02</v>
      </c>
      <c r="R141">
        <f>(O141+P141+Q141)/3</f>
        <v>40.2233333333333</v>
      </c>
    </row>
    <row r="142" spans="1:18">
      <c r="A142" s="30"/>
      <c r="B142">
        <v>3.008</v>
      </c>
      <c r="C142" s="42">
        <v>42.341</v>
      </c>
      <c r="D142">
        <v>44.102</v>
      </c>
      <c r="E142">
        <f t="shared" si="35"/>
        <v>1.761</v>
      </c>
      <c r="G142">
        <f t="shared" si="36"/>
        <v>0.412667313728985</v>
      </c>
      <c r="H142" s="43">
        <f t="shared" si="37"/>
        <v>0.412667313728985</v>
      </c>
      <c r="I142">
        <v>41.27</v>
      </c>
      <c r="M142" s="30" t="s">
        <v>56</v>
      </c>
      <c r="N142" s="30" t="s">
        <v>88</v>
      </c>
      <c r="O142">
        <v>41.72</v>
      </c>
      <c r="P142">
        <v>41.52</v>
      </c>
      <c r="Q142">
        <v>41.27</v>
      </c>
      <c r="R142">
        <f t="shared" ref="R142:R149" si="38">(O142+P142+Q142)/3</f>
        <v>41.5033333333333</v>
      </c>
    </row>
    <row r="143" spans="1:18">
      <c r="A143" s="30" t="s">
        <v>89</v>
      </c>
      <c r="B143" s="55">
        <v>2.005</v>
      </c>
      <c r="C143" s="55">
        <v>42.34</v>
      </c>
      <c r="D143" s="55">
        <v>43.473</v>
      </c>
      <c r="E143" s="52">
        <f t="shared" si="35"/>
        <v>1.133</v>
      </c>
      <c r="F143" s="52"/>
      <c r="G143" s="52">
        <f t="shared" si="36"/>
        <v>0.432537934444994</v>
      </c>
      <c r="H143" s="53">
        <f t="shared" si="37"/>
        <v>0.432537934444994</v>
      </c>
      <c r="I143">
        <v>43.25</v>
      </c>
      <c r="M143" s="30" t="s">
        <v>56</v>
      </c>
      <c r="N143" s="30" t="s">
        <v>90</v>
      </c>
      <c r="O143">
        <v>43.25</v>
      </c>
      <c r="P143">
        <v>43.3</v>
      </c>
      <c r="Q143">
        <v>43.29</v>
      </c>
      <c r="R143">
        <f t="shared" si="38"/>
        <v>43.28</v>
      </c>
    </row>
    <row r="144" spans="1:18">
      <c r="A144" s="30"/>
      <c r="B144" s="55">
        <v>2.065</v>
      </c>
      <c r="C144" s="55">
        <v>40.688</v>
      </c>
      <c r="D144" s="55">
        <v>41.854</v>
      </c>
      <c r="E144" s="52">
        <f t="shared" si="35"/>
        <v>1.166</v>
      </c>
      <c r="F144" s="52"/>
      <c r="G144" s="52">
        <f t="shared" si="36"/>
        <v>0.433035094413133</v>
      </c>
      <c r="H144" s="53">
        <f t="shared" si="37"/>
        <v>0.433035094413133</v>
      </c>
      <c r="I144">
        <v>43.3</v>
      </c>
      <c r="M144" s="30" t="s">
        <v>57</v>
      </c>
      <c r="N144" s="30" t="s">
        <v>86</v>
      </c>
      <c r="O144">
        <v>39.59</v>
      </c>
      <c r="P144">
        <v>39.65</v>
      </c>
      <c r="Q144">
        <v>38.7</v>
      </c>
      <c r="R144">
        <f t="shared" si="38"/>
        <v>39.3133333333333</v>
      </c>
    </row>
    <row r="145" spans="1:18">
      <c r="A145" s="30"/>
      <c r="B145" s="30">
        <v>2.075</v>
      </c>
      <c r="C145" s="30">
        <v>39.759</v>
      </c>
      <c r="D145" s="30">
        <v>40.931</v>
      </c>
      <c r="E145">
        <f t="shared" si="35"/>
        <v>1.172</v>
      </c>
      <c r="G145">
        <f t="shared" si="36"/>
        <v>0.432865477904997</v>
      </c>
      <c r="H145" s="43">
        <f t="shared" si="37"/>
        <v>0.432865477904997</v>
      </c>
      <c r="I145">
        <v>43.29</v>
      </c>
      <c r="M145" s="30" t="s">
        <v>57</v>
      </c>
      <c r="N145" s="30" t="s">
        <v>88</v>
      </c>
      <c r="O145">
        <v>40.86</v>
      </c>
      <c r="P145">
        <v>41.15</v>
      </c>
      <c r="Q145">
        <v>41.07</v>
      </c>
      <c r="R145">
        <f t="shared" si="38"/>
        <v>41.0266666666667</v>
      </c>
    </row>
    <row r="146" spans="1:18">
      <c r="A146" s="30" t="s">
        <v>91</v>
      </c>
      <c r="B146" s="52">
        <v>3.017</v>
      </c>
      <c r="C146" s="52">
        <v>44.178</v>
      </c>
      <c r="D146" s="52">
        <v>45.9901</v>
      </c>
      <c r="E146" s="52">
        <f t="shared" si="33"/>
        <v>1.8121</v>
      </c>
      <c r="F146" s="52"/>
      <c r="G146" s="52">
        <f t="shared" si="36"/>
        <v>0.395894285403089</v>
      </c>
      <c r="H146" s="53">
        <f t="shared" si="34"/>
        <v>0.395894285403089</v>
      </c>
      <c r="I146">
        <v>39.59</v>
      </c>
      <c r="M146" s="30" t="s">
        <v>57</v>
      </c>
      <c r="N146" s="30" t="s">
        <v>90</v>
      </c>
      <c r="O146">
        <v>41.84</v>
      </c>
      <c r="P146">
        <v>42.55</v>
      </c>
      <c r="Q146">
        <v>42.56</v>
      </c>
      <c r="R146">
        <f t="shared" si="38"/>
        <v>42.3166666666667</v>
      </c>
    </row>
    <row r="147" spans="1:18">
      <c r="A147" s="30"/>
      <c r="B147">
        <v>3.002</v>
      </c>
      <c r="C147">
        <v>42.546</v>
      </c>
      <c r="D147">
        <v>44.347</v>
      </c>
      <c r="E147">
        <f t="shared" ref="E147:E148" si="39">D147-C147</f>
        <v>1.801</v>
      </c>
      <c r="G147">
        <f t="shared" ref="G147:G149" si="40">1-E147/(B147*I117)</f>
        <v>0.39653660623353</v>
      </c>
      <c r="H147" s="43">
        <f t="shared" ref="H147:H148" si="41">G147*1</f>
        <v>0.39653660623353</v>
      </c>
      <c r="I147">
        <v>39.65</v>
      </c>
      <c r="M147" s="30" t="s">
        <v>59</v>
      </c>
      <c r="N147" s="30" t="s">
        <v>86</v>
      </c>
      <c r="O147">
        <v>39.79</v>
      </c>
      <c r="P147">
        <v>38.51</v>
      </c>
      <c r="Q147">
        <v>39.94</v>
      </c>
      <c r="R147">
        <f t="shared" si="38"/>
        <v>39.4133333333333</v>
      </c>
    </row>
    <row r="148" spans="1:18">
      <c r="A148" s="30"/>
      <c r="B148">
        <v>3.014</v>
      </c>
      <c r="C148">
        <v>40.228</v>
      </c>
      <c r="D148">
        <v>42.065</v>
      </c>
      <c r="E148">
        <f t="shared" si="39"/>
        <v>1.837</v>
      </c>
      <c r="G148">
        <f t="shared" si="40"/>
        <v>0.386992703960838</v>
      </c>
      <c r="H148" s="43">
        <f t="shared" si="41"/>
        <v>0.386992703960838</v>
      </c>
      <c r="I148">
        <v>38.7</v>
      </c>
      <c r="M148" s="30" t="s">
        <v>59</v>
      </c>
      <c r="N148" s="30" t="s">
        <v>88</v>
      </c>
      <c r="O148">
        <v>40.79</v>
      </c>
      <c r="P148">
        <v>41.64</v>
      </c>
      <c r="Q148">
        <v>41.76</v>
      </c>
      <c r="R148">
        <f t="shared" si="38"/>
        <v>41.3966666666667</v>
      </c>
    </row>
    <row r="149" spans="1:18">
      <c r="A149" s="30" t="s">
        <v>101</v>
      </c>
      <c r="B149" s="52">
        <v>3.007</v>
      </c>
      <c r="C149" s="54">
        <v>42.922</v>
      </c>
      <c r="D149" s="52">
        <v>44.6931</v>
      </c>
      <c r="E149" s="52">
        <f t="shared" si="33"/>
        <v>1.7711</v>
      </c>
      <c r="F149" s="52"/>
      <c r="G149" s="52">
        <f t="shared" si="40"/>
        <v>0.408641267431245</v>
      </c>
      <c r="H149" s="53">
        <f t="shared" si="34"/>
        <v>0.408641267431245</v>
      </c>
      <c r="I149">
        <v>40.86</v>
      </c>
      <c r="M149" s="30" t="s">
        <v>59</v>
      </c>
      <c r="N149" s="30" t="s">
        <v>90</v>
      </c>
      <c r="O149">
        <v>42.17</v>
      </c>
      <c r="P149">
        <v>42.24</v>
      </c>
      <c r="Q149">
        <v>42.21</v>
      </c>
      <c r="R149">
        <f t="shared" si="38"/>
        <v>42.2066666666667</v>
      </c>
    </row>
    <row r="150" spans="1:9">
      <c r="A150" s="30"/>
      <c r="B150">
        <v>3.004</v>
      </c>
      <c r="C150" s="42">
        <v>41.592</v>
      </c>
      <c r="D150">
        <v>43.353</v>
      </c>
      <c r="E150">
        <f t="shared" ref="E150:E152" si="42">D150-C150</f>
        <v>1.761</v>
      </c>
      <c r="G150">
        <f t="shared" ref="G150:G152" si="43">1-E150/(B150*I120)</f>
        <v>0.411501900892925</v>
      </c>
      <c r="H150" s="43">
        <f t="shared" ref="H150:H152" si="44">G150*1</f>
        <v>0.411501900892925</v>
      </c>
      <c r="I150">
        <v>41.15</v>
      </c>
    </row>
    <row r="151" spans="1:9">
      <c r="A151" s="30"/>
      <c r="B151">
        <v>3.014</v>
      </c>
      <c r="C151" s="42">
        <v>43.413</v>
      </c>
      <c r="D151">
        <v>45.182</v>
      </c>
      <c r="E151">
        <f t="shared" si="42"/>
        <v>1.76900000000001</v>
      </c>
      <c r="G151">
        <f t="shared" si="43"/>
        <v>0.410749129006422</v>
      </c>
      <c r="H151" s="43">
        <f t="shared" si="44"/>
        <v>0.410749129006422</v>
      </c>
      <c r="I151">
        <v>41.07</v>
      </c>
    </row>
    <row r="152" spans="1:9">
      <c r="A152" s="30" t="s">
        <v>93</v>
      </c>
      <c r="B152" s="55">
        <v>2.003</v>
      </c>
      <c r="C152" s="55">
        <v>42.695</v>
      </c>
      <c r="D152" s="55">
        <v>43.856</v>
      </c>
      <c r="E152" s="52">
        <f t="shared" si="42"/>
        <v>1.161</v>
      </c>
      <c r="F152" s="52"/>
      <c r="G152" s="52">
        <f t="shared" si="43"/>
        <v>0.418420799746784</v>
      </c>
      <c r="H152" s="53">
        <f t="shared" si="44"/>
        <v>0.418420799746784</v>
      </c>
      <c r="I152">
        <v>41.84</v>
      </c>
    </row>
    <row r="153" spans="1:9">
      <c r="A153" s="30"/>
      <c r="B153" s="55">
        <v>2.02</v>
      </c>
      <c r="C153" s="55">
        <v>42.619</v>
      </c>
      <c r="D153" s="55">
        <v>43.776</v>
      </c>
      <c r="E153" s="52">
        <f t="shared" ref="E153:E154" si="45">D153-C153</f>
        <v>1.157</v>
      </c>
      <c r="F153" s="52"/>
      <c r="G153" s="52">
        <f t="shared" ref="G153:G155" si="46">1-E153/(B153*I123)</f>
        <v>0.425474861731462</v>
      </c>
      <c r="H153" s="53">
        <f t="shared" ref="H153:H154" si="47">G153*1</f>
        <v>0.425474861731462</v>
      </c>
      <c r="I153">
        <v>42.55</v>
      </c>
    </row>
    <row r="154" spans="1:9">
      <c r="A154" s="30"/>
      <c r="B154" s="30">
        <v>2.014</v>
      </c>
      <c r="C154" s="30">
        <v>40.274</v>
      </c>
      <c r="D154" s="30">
        <v>41.427</v>
      </c>
      <c r="E154">
        <f t="shared" si="45"/>
        <v>1.153</v>
      </c>
      <c r="G154">
        <f t="shared" si="46"/>
        <v>0.425608832285982</v>
      </c>
      <c r="H154" s="43">
        <f t="shared" si="47"/>
        <v>0.425608832285982</v>
      </c>
      <c r="I154">
        <v>42.56</v>
      </c>
    </row>
    <row r="155" spans="1:9">
      <c r="A155" s="30" t="s">
        <v>94</v>
      </c>
      <c r="B155" s="52">
        <v>3.078</v>
      </c>
      <c r="C155" s="52">
        <v>44.676</v>
      </c>
      <c r="D155" s="52">
        <v>46.521</v>
      </c>
      <c r="E155" s="52">
        <f t="shared" si="33"/>
        <v>1.845</v>
      </c>
      <c r="F155" s="52"/>
      <c r="G155" s="52">
        <f t="shared" si="46"/>
        <v>0.397904588646811</v>
      </c>
      <c r="H155" s="53">
        <f t="shared" si="34"/>
        <v>0.397904588646811</v>
      </c>
      <c r="I155">
        <v>39.79</v>
      </c>
    </row>
    <row r="156" spans="1:9">
      <c r="A156" s="30"/>
      <c r="B156">
        <v>3.064</v>
      </c>
      <c r="C156">
        <v>42.115</v>
      </c>
      <c r="D156">
        <v>43.991</v>
      </c>
      <c r="E156">
        <f t="shared" ref="E156:E157" si="48">D156-C156</f>
        <v>1.876</v>
      </c>
      <c r="G156">
        <f t="shared" ref="G156:G158" si="49">1-E156/(B156*I126)</f>
        <v>0.385125558204793</v>
      </c>
      <c r="H156" s="43">
        <f t="shared" ref="H156:H157" si="50">G156*1</f>
        <v>0.385125558204793</v>
      </c>
      <c r="I156">
        <v>38.51</v>
      </c>
    </row>
    <row r="157" spans="1:9">
      <c r="A157" s="30"/>
      <c r="B157">
        <v>3.012</v>
      </c>
      <c r="C157">
        <v>45.491</v>
      </c>
      <c r="D157">
        <v>47.292</v>
      </c>
      <c r="E157">
        <f t="shared" si="48"/>
        <v>1.801</v>
      </c>
      <c r="G157">
        <f t="shared" si="49"/>
        <v>0.399398149229206</v>
      </c>
      <c r="H157" s="43">
        <f t="shared" si="50"/>
        <v>0.399398149229206</v>
      </c>
      <c r="I157">
        <v>39.94</v>
      </c>
    </row>
    <row r="158" spans="1:9">
      <c r="A158" s="30" t="s">
        <v>102</v>
      </c>
      <c r="B158" s="52">
        <v>3.01</v>
      </c>
      <c r="C158" s="54">
        <v>45.075</v>
      </c>
      <c r="D158" s="52">
        <v>46.8515</v>
      </c>
      <c r="E158" s="52">
        <f t="shared" si="33"/>
        <v>1.7765</v>
      </c>
      <c r="F158" s="52"/>
      <c r="G158" s="52">
        <f t="shared" si="49"/>
        <v>0.40793944402302</v>
      </c>
      <c r="H158" s="53">
        <f t="shared" si="34"/>
        <v>0.40793944402302</v>
      </c>
      <c r="I158">
        <v>40.79</v>
      </c>
    </row>
    <row r="159" spans="1:9">
      <c r="A159" s="30"/>
      <c r="B159">
        <v>3.008</v>
      </c>
      <c r="C159" s="42">
        <v>41.583</v>
      </c>
      <c r="D159">
        <v>43.333</v>
      </c>
      <c r="E159">
        <f t="shared" ref="E159:E160" si="51">D159-C159</f>
        <v>1.75</v>
      </c>
      <c r="G159">
        <f t="shared" ref="G159:G160" si="52">1-E159/(B159*I129)</f>
        <v>0.416437133914731</v>
      </c>
      <c r="H159" s="43">
        <f t="shared" ref="H159:H160" si="53">G159*1</f>
        <v>0.416437133914731</v>
      </c>
      <c r="I159">
        <v>41.64</v>
      </c>
    </row>
    <row r="160" spans="1:9">
      <c r="A160" s="30"/>
      <c r="B160">
        <v>3.023</v>
      </c>
      <c r="C160" s="42">
        <v>42.667</v>
      </c>
      <c r="D160">
        <v>44.422</v>
      </c>
      <c r="E160">
        <f t="shared" si="51"/>
        <v>1.755</v>
      </c>
      <c r="G160">
        <f t="shared" si="52"/>
        <v>0.417639712877347</v>
      </c>
      <c r="H160" s="43">
        <f t="shared" si="53"/>
        <v>0.417639712877347</v>
      </c>
      <c r="I160">
        <v>41.76</v>
      </c>
    </row>
    <row r="161" spans="1:9">
      <c r="A161" s="30" t="s">
        <v>96</v>
      </c>
      <c r="B161" s="55">
        <v>2.023</v>
      </c>
      <c r="C161" s="55">
        <v>43.345</v>
      </c>
      <c r="D161" s="55">
        <v>44.512</v>
      </c>
      <c r="E161" s="52">
        <f t="shared" ref="E161:E163" si="54">D161-C161</f>
        <v>1.167</v>
      </c>
      <c r="F161" s="52"/>
      <c r="G161" s="52">
        <f t="shared" ref="G161:G163" si="55">1-E161/(B161*I131)</f>
        <v>0.421749482962504</v>
      </c>
      <c r="H161" s="53">
        <f t="shared" ref="H161:H163" si="56">G161*1</f>
        <v>0.421749482962504</v>
      </c>
      <c r="I161">
        <v>42.17</v>
      </c>
    </row>
    <row r="162" spans="2:9">
      <c r="B162" s="55">
        <v>2.017</v>
      </c>
      <c r="C162" s="55">
        <v>42.56</v>
      </c>
      <c r="D162" s="55">
        <v>43.722</v>
      </c>
      <c r="E162" s="52">
        <f t="shared" si="54"/>
        <v>1.162</v>
      </c>
      <c r="F162" s="52"/>
      <c r="G162" s="52">
        <f t="shared" si="55"/>
        <v>0.422409454651842</v>
      </c>
      <c r="H162" s="53">
        <f t="shared" si="56"/>
        <v>0.422409454651842</v>
      </c>
      <c r="I162">
        <v>42.24</v>
      </c>
    </row>
    <row r="163" spans="2:9">
      <c r="B163" s="30">
        <v>2.007</v>
      </c>
      <c r="C163" s="30">
        <v>42.438</v>
      </c>
      <c r="D163" s="56">
        <v>43.595</v>
      </c>
      <c r="E163">
        <f t="shared" si="54"/>
        <v>1.157</v>
      </c>
      <c r="G163">
        <f t="shared" si="55"/>
        <v>0.422112143063042</v>
      </c>
      <c r="H163" s="43">
        <f t="shared" si="56"/>
        <v>0.422112143063042</v>
      </c>
      <c r="I163">
        <v>42.21</v>
      </c>
    </row>
    <row r="169" spans="22:30">
      <c r="V169" s="30" t="s">
        <v>55</v>
      </c>
      <c r="W169" s="30" t="s">
        <v>111</v>
      </c>
      <c r="Y169" s="30" t="s">
        <v>86</v>
      </c>
      <c r="Z169" s="30" t="s">
        <v>88</v>
      </c>
      <c r="AA169" s="30" t="s">
        <v>112</v>
      </c>
      <c r="AC169" s="30" t="s">
        <v>113</v>
      </c>
      <c r="AD169" s="30" t="s">
        <v>114</v>
      </c>
    </row>
    <row r="170" spans="15:30">
      <c r="O170" s="30" t="s">
        <v>56</v>
      </c>
      <c r="P170" s="30" t="s">
        <v>86</v>
      </c>
      <c r="Q170" s="30" t="s">
        <v>115</v>
      </c>
      <c r="R170" s="58">
        <v>31.47</v>
      </c>
      <c r="S170" s="58">
        <v>31.69</v>
      </c>
      <c r="T170" s="58">
        <v>31.7</v>
      </c>
      <c r="V170" s="59">
        <v>31.62</v>
      </c>
      <c r="W170" s="59">
        <v>0.13</v>
      </c>
      <c r="Y170" s="59">
        <v>31.62</v>
      </c>
      <c r="Z170" s="59">
        <v>33.33667</v>
      </c>
      <c r="AA170" s="59">
        <v>31.62667</v>
      </c>
      <c r="AB170" s="30" t="s">
        <v>115</v>
      </c>
      <c r="AC170" s="60">
        <f>AA170-Y170</f>
        <v>0.00666999999999973</v>
      </c>
      <c r="AD170" s="60">
        <f>AA170-Z170</f>
        <v>-1.71</v>
      </c>
    </row>
    <row r="171" spans="1:30">
      <c r="A171" s="30"/>
      <c r="Q171" s="30" t="s">
        <v>116</v>
      </c>
      <c r="R171" s="58">
        <v>-0.73</v>
      </c>
      <c r="S171" s="58">
        <v>-0.78</v>
      </c>
      <c r="T171" s="58">
        <v>-0.76</v>
      </c>
      <c r="V171" s="59">
        <v>-0.75667</v>
      </c>
      <c r="W171" s="59">
        <v>0.02517</v>
      </c>
      <c r="Y171" s="59">
        <v>-0.75667</v>
      </c>
      <c r="Z171" s="59">
        <v>-0.60333</v>
      </c>
      <c r="AA171" s="59">
        <v>-0.09333</v>
      </c>
      <c r="AB171" s="30" t="s">
        <v>116</v>
      </c>
      <c r="AC171" s="60">
        <f t="shared" ref="AC171:AC172" si="57">AA171-Y171</f>
        <v>0.66334</v>
      </c>
      <c r="AD171" s="60">
        <f t="shared" ref="AD171:AD172" si="58">AA171-Z171</f>
        <v>0.51</v>
      </c>
    </row>
    <row r="172" spans="1:30">
      <c r="A172" s="40" t="s">
        <v>117</v>
      </c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Q172" s="30" t="s">
        <v>118</v>
      </c>
      <c r="R172" s="58">
        <v>4.31</v>
      </c>
      <c r="S172" s="58">
        <v>4.39</v>
      </c>
      <c r="T172" s="58">
        <v>4.38</v>
      </c>
      <c r="V172" s="59">
        <v>4.36</v>
      </c>
      <c r="W172" s="59">
        <v>0.04359</v>
      </c>
      <c r="Y172" s="59">
        <v>4.36</v>
      </c>
      <c r="Z172" s="59">
        <v>1.31667</v>
      </c>
      <c r="AA172" s="59">
        <v>5.56333</v>
      </c>
      <c r="AB172" s="30" t="s">
        <v>118</v>
      </c>
      <c r="AC172" s="60">
        <f t="shared" si="57"/>
        <v>1.20333</v>
      </c>
      <c r="AD172" s="60">
        <f t="shared" si="58"/>
        <v>4.24666</v>
      </c>
    </row>
    <row r="173" spans="2:30">
      <c r="B173" s="57" t="s">
        <v>115</v>
      </c>
      <c r="C173" s="57" t="s">
        <v>116</v>
      </c>
      <c r="D173" s="57" t="s">
        <v>118</v>
      </c>
      <c r="E173" s="58"/>
      <c r="F173" s="58"/>
      <c r="G173" s="58"/>
      <c r="H173" s="58"/>
      <c r="I173" s="58"/>
      <c r="J173" s="58"/>
      <c r="K173" s="58"/>
      <c r="L173" s="58"/>
      <c r="O173" s="30" t="s">
        <v>56</v>
      </c>
      <c r="P173" s="30" t="s">
        <v>88</v>
      </c>
      <c r="Q173" s="30" t="s">
        <v>115</v>
      </c>
      <c r="R173" s="58">
        <v>33.32</v>
      </c>
      <c r="S173" s="58">
        <v>33.35</v>
      </c>
      <c r="T173" s="58">
        <v>33.34</v>
      </c>
      <c r="V173" s="59">
        <v>33.33667</v>
      </c>
      <c r="W173" s="59">
        <v>0.01528</v>
      </c>
      <c r="Y173" s="59">
        <v>32.42333</v>
      </c>
      <c r="Z173" s="59">
        <v>33.13333</v>
      </c>
      <c r="AA173" s="59">
        <v>30.14</v>
      </c>
      <c r="AB173" s="30" t="s">
        <v>115</v>
      </c>
      <c r="AC173" s="59">
        <f t="shared" ref="AC173:AC178" si="59">AA173-Y173</f>
        <v>-2.28333</v>
      </c>
      <c r="AD173" s="59">
        <f t="shared" ref="AD173:AD178" si="60">AA173-Z173</f>
        <v>-2.99333</v>
      </c>
    </row>
    <row r="174" spans="1:30">
      <c r="A174" s="30" t="s">
        <v>85</v>
      </c>
      <c r="B174" s="58">
        <v>31.47</v>
      </c>
      <c r="C174" s="58">
        <v>-0.73</v>
      </c>
      <c r="D174" s="58">
        <v>4.31</v>
      </c>
      <c r="E174" s="58"/>
      <c r="F174" s="58">
        <v>33.32</v>
      </c>
      <c r="G174" s="58">
        <v>-0.58</v>
      </c>
      <c r="H174" s="58">
        <v>1.3</v>
      </c>
      <c r="I174" s="58"/>
      <c r="J174" s="58">
        <v>31.62</v>
      </c>
      <c r="K174" s="58">
        <v>-0.09</v>
      </c>
      <c r="L174" s="58">
        <v>5.55</v>
      </c>
      <c r="Q174" s="30" t="s">
        <v>116</v>
      </c>
      <c r="R174" s="58">
        <v>-0.58</v>
      </c>
      <c r="S174" s="58">
        <v>-0.63</v>
      </c>
      <c r="T174" s="58">
        <v>-0.6</v>
      </c>
      <c r="V174" s="59">
        <v>-0.60333</v>
      </c>
      <c r="W174" s="59">
        <v>0.02517</v>
      </c>
      <c r="Y174" s="59">
        <v>-0.84</v>
      </c>
      <c r="Z174" s="59">
        <v>-0.81</v>
      </c>
      <c r="AA174" s="59">
        <v>0.45333</v>
      </c>
      <c r="AB174" s="30" t="s">
        <v>116</v>
      </c>
      <c r="AC174" s="59">
        <f t="shared" si="59"/>
        <v>1.29333</v>
      </c>
      <c r="AD174" s="59">
        <f t="shared" si="60"/>
        <v>1.26333</v>
      </c>
    </row>
    <row r="175" spans="2:30">
      <c r="B175" s="58">
        <v>31.69</v>
      </c>
      <c r="C175" s="58">
        <v>-0.78</v>
      </c>
      <c r="D175" s="58">
        <v>4.39</v>
      </c>
      <c r="E175" s="58"/>
      <c r="F175" s="58">
        <v>33.35</v>
      </c>
      <c r="G175" s="58">
        <v>-0.63</v>
      </c>
      <c r="H175" s="58">
        <v>1.34</v>
      </c>
      <c r="I175" s="58"/>
      <c r="J175" s="58">
        <v>31.63</v>
      </c>
      <c r="K175" s="58">
        <v>-0.1</v>
      </c>
      <c r="L175" s="58">
        <v>5.57</v>
      </c>
      <c r="Q175" s="30" t="s">
        <v>118</v>
      </c>
      <c r="R175" s="58">
        <v>1.3</v>
      </c>
      <c r="S175" s="58">
        <v>1.34</v>
      </c>
      <c r="T175" s="58">
        <v>1.31</v>
      </c>
      <c r="V175" s="59">
        <v>1.31667</v>
      </c>
      <c r="W175" s="59">
        <v>0.02082</v>
      </c>
      <c r="Y175" s="59">
        <v>5.18</v>
      </c>
      <c r="Z175" s="59">
        <v>3.36333</v>
      </c>
      <c r="AA175" s="59">
        <v>6.07</v>
      </c>
      <c r="AB175" s="30" t="s">
        <v>118</v>
      </c>
      <c r="AC175" s="59">
        <f t="shared" si="59"/>
        <v>0.890000000000001</v>
      </c>
      <c r="AD175" s="59">
        <f t="shared" si="60"/>
        <v>2.70667</v>
      </c>
    </row>
    <row r="176" spans="2:30">
      <c r="B176" s="58">
        <v>31.7</v>
      </c>
      <c r="C176" s="58">
        <v>-0.76</v>
      </c>
      <c r="D176" s="58">
        <v>4.38</v>
      </c>
      <c r="E176" s="58"/>
      <c r="F176" s="58">
        <v>33.34</v>
      </c>
      <c r="G176" s="58">
        <v>-0.6</v>
      </c>
      <c r="H176" s="58">
        <v>1.31</v>
      </c>
      <c r="I176" s="58"/>
      <c r="J176" s="58">
        <v>31.63</v>
      </c>
      <c r="K176" s="58">
        <v>-0.09</v>
      </c>
      <c r="L176" s="58">
        <v>5.57</v>
      </c>
      <c r="O176" s="30" t="s">
        <v>56</v>
      </c>
      <c r="P176" s="30" t="s">
        <v>90</v>
      </c>
      <c r="Q176" s="30" t="s">
        <v>115</v>
      </c>
      <c r="R176" s="58">
        <v>31.62</v>
      </c>
      <c r="S176" s="58">
        <v>31.63</v>
      </c>
      <c r="T176" s="58">
        <v>31.63</v>
      </c>
      <c r="V176" s="59">
        <v>31.62667</v>
      </c>
      <c r="W176" s="59">
        <v>0.00577</v>
      </c>
      <c r="Y176" s="59">
        <v>30.65</v>
      </c>
      <c r="Z176" s="59">
        <v>32.44</v>
      </c>
      <c r="AA176" s="59">
        <v>32.07</v>
      </c>
      <c r="AB176" s="30" t="s">
        <v>115</v>
      </c>
      <c r="AC176" s="60">
        <f t="shared" si="59"/>
        <v>1.42</v>
      </c>
      <c r="AD176" s="60">
        <f t="shared" si="60"/>
        <v>-0.369999999999997</v>
      </c>
    </row>
    <row r="177" spans="1:30">
      <c r="A177" s="30" t="s">
        <v>119</v>
      </c>
      <c r="B177" s="58">
        <f>(B174+B175+B176)/3</f>
        <v>31.62</v>
      </c>
      <c r="C177" s="58">
        <f t="shared" ref="C177:L177" si="61">(C174+C175+C176)/3</f>
        <v>-0.756666666666667</v>
      </c>
      <c r="D177" s="58">
        <f t="shared" si="61"/>
        <v>4.36</v>
      </c>
      <c r="E177" s="58"/>
      <c r="F177" s="58">
        <f t="shared" si="61"/>
        <v>33.3366666666667</v>
      </c>
      <c r="G177" s="58">
        <f t="shared" si="61"/>
        <v>-0.603333333333333</v>
      </c>
      <c r="H177" s="58">
        <f t="shared" si="61"/>
        <v>1.31666666666667</v>
      </c>
      <c r="I177" s="58"/>
      <c r="J177" s="58">
        <f t="shared" si="61"/>
        <v>31.6266666666667</v>
      </c>
      <c r="K177" s="58">
        <f t="shared" si="61"/>
        <v>-0.0933333333333333</v>
      </c>
      <c r="L177" s="58">
        <f t="shared" si="61"/>
        <v>5.56333333333333</v>
      </c>
      <c r="Q177" s="30" t="s">
        <v>116</v>
      </c>
      <c r="R177" s="58">
        <v>-0.09</v>
      </c>
      <c r="S177" s="58">
        <v>-0.1</v>
      </c>
      <c r="T177" s="58">
        <v>-0.09</v>
      </c>
      <c r="V177" s="59">
        <v>-0.09333</v>
      </c>
      <c r="W177" s="59">
        <v>0.00577</v>
      </c>
      <c r="Y177" s="59">
        <v>-0.48333</v>
      </c>
      <c r="Z177" s="59">
        <v>-0.57333</v>
      </c>
      <c r="AA177" s="59">
        <v>-0.48667</v>
      </c>
      <c r="AB177" s="30" t="s">
        <v>116</v>
      </c>
      <c r="AC177" s="60">
        <f t="shared" si="59"/>
        <v>-0.00334000000000001</v>
      </c>
      <c r="AD177" s="60">
        <f t="shared" si="60"/>
        <v>0.08666</v>
      </c>
    </row>
    <row r="178" spans="2:30"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Q178" s="30" t="s">
        <v>118</v>
      </c>
      <c r="R178" s="58">
        <v>5.55</v>
      </c>
      <c r="S178" s="58">
        <v>5.57</v>
      </c>
      <c r="T178" s="58">
        <v>5.57</v>
      </c>
      <c r="V178" s="59">
        <v>5.56333</v>
      </c>
      <c r="W178" s="59">
        <v>0.01155</v>
      </c>
      <c r="Y178" s="59">
        <v>5.04667</v>
      </c>
      <c r="Z178" s="59">
        <v>2.82</v>
      </c>
      <c r="AA178" s="59">
        <v>5.92</v>
      </c>
      <c r="AB178" s="30" t="s">
        <v>118</v>
      </c>
      <c r="AC178" s="60">
        <f t="shared" si="59"/>
        <v>0.87333</v>
      </c>
      <c r="AD178" s="60">
        <f t="shared" si="60"/>
        <v>3.1</v>
      </c>
    </row>
    <row r="179" spans="1:23">
      <c r="A179" s="30" t="s">
        <v>91</v>
      </c>
      <c r="B179" s="58">
        <v>32.38</v>
      </c>
      <c r="C179" s="58">
        <v>-0.85</v>
      </c>
      <c r="D179" s="58">
        <v>5.15</v>
      </c>
      <c r="E179" s="57" t="s">
        <v>92</v>
      </c>
      <c r="F179" s="58">
        <v>33.13</v>
      </c>
      <c r="G179" s="58">
        <v>-0.81</v>
      </c>
      <c r="H179" s="58">
        <v>3.37</v>
      </c>
      <c r="I179" s="57" t="s">
        <v>93</v>
      </c>
      <c r="J179" s="58">
        <v>30.16</v>
      </c>
      <c r="K179" s="58">
        <v>0.44</v>
      </c>
      <c r="L179" s="58">
        <v>6.1</v>
      </c>
      <c r="V179" s="59" t="s">
        <v>120</v>
      </c>
      <c r="W179" s="59" t="s">
        <v>120</v>
      </c>
    </row>
    <row r="180" spans="2:31">
      <c r="B180" s="58">
        <v>32.45</v>
      </c>
      <c r="C180" s="58">
        <v>-0.83</v>
      </c>
      <c r="D180" s="58">
        <v>5.19</v>
      </c>
      <c r="E180" s="58"/>
      <c r="F180" s="58">
        <v>33.14</v>
      </c>
      <c r="G180" s="58">
        <v>-0.81</v>
      </c>
      <c r="H180" s="58">
        <v>3.36</v>
      </c>
      <c r="I180" s="58"/>
      <c r="J180" s="58">
        <v>30.12</v>
      </c>
      <c r="K180" s="58">
        <v>0.46</v>
      </c>
      <c r="L180" s="58">
        <v>6.03</v>
      </c>
      <c r="O180" s="30" t="s">
        <v>57</v>
      </c>
      <c r="P180" s="30" t="s">
        <v>86</v>
      </c>
      <c r="Q180" s="30" t="s">
        <v>115</v>
      </c>
      <c r="R180" s="58">
        <v>32.38</v>
      </c>
      <c r="S180" s="58">
        <v>32.45</v>
      </c>
      <c r="T180" s="58">
        <v>32.44</v>
      </c>
      <c r="V180" s="59">
        <v>32.42333</v>
      </c>
      <c r="W180" s="59">
        <v>0.03786</v>
      </c>
      <c r="Z180" s="30" t="s">
        <v>121</v>
      </c>
      <c r="AA180" s="30" t="s">
        <v>115</v>
      </c>
      <c r="AB180" s="30" t="s">
        <v>116</v>
      </c>
      <c r="AC180" s="30" t="s">
        <v>118</v>
      </c>
      <c r="AD180" s="30" t="s">
        <v>122</v>
      </c>
      <c r="AE180" s="30" t="s">
        <v>123</v>
      </c>
    </row>
    <row r="181" spans="2:31">
      <c r="B181" s="58">
        <v>32.44</v>
      </c>
      <c r="C181" s="58">
        <v>-0.84</v>
      </c>
      <c r="D181" s="58">
        <v>5.2</v>
      </c>
      <c r="E181" s="58"/>
      <c r="F181" s="58">
        <v>33.13</v>
      </c>
      <c r="G181" s="58">
        <v>-0.81</v>
      </c>
      <c r="H181" s="58">
        <v>3.36</v>
      </c>
      <c r="I181" s="58"/>
      <c r="J181" s="58">
        <v>30.14</v>
      </c>
      <c r="K181" s="58">
        <v>0.46</v>
      </c>
      <c r="L181" s="58">
        <v>6.08</v>
      </c>
      <c r="Q181" s="30" t="s">
        <v>116</v>
      </c>
      <c r="R181" s="58">
        <v>-0.85</v>
      </c>
      <c r="S181" s="58">
        <v>-0.83</v>
      </c>
      <c r="T181" s="58">
        <v>-0.84</v>
      </c>
      <c r="V181" s="59">
        <v>-0.84</v>
      </c>
      <c r="W181" s="59">
        <v>0.01</v>
      </c>
      <c r="Y181" s="30" t="s">
        <v>56</v>
      </c>
      <c r="Z181" s="30" t="s">
        <v>86</v>
      </c>
      <c r="AA181" s="59">
        <v>0.01</v>
      </c>
      <c r="AB181" s="59">
        <v>0.66</v>
      </c>
      <c r="AC181" s="59">
        <v>1.2</v>
      </c>
      <c r="AD181">
        <f>AA181*AA181+AB181*AB181+AC181*AC181</f>
        <v>1.8757</v>
      </c>
      <c r="AE181" s="59">
        <f>POWER(AD181,0.5)</f>
        <v>1.36956197377118</v>
      </c>
    </row>
    <row r="182" spans="1:31">
      <c r="A182" s="30" t="s">
        <v>119</v>
      </c>
      <c r="B182" s="58">
        <f>(B179+B181+B180)/3</f>
        <v>32.4233333333333</v>
      </c>
      <c r="C182" s="58">
        <f t="shared" ref="C182:L182" si="62">(C179+C181+C180)/3</f>
        <v>-0.84</v>
      </c>
      <c r="D182" s="58">
        <f t="shared" si="62"/>
        <v>5.18</v>
      </c>
      <c r="E182" s="58"/>
      <c r="F182" s="58">
        <f t="shared" si="62"/>
        <v>33.1333333333333</v>
      </c>
      <c r="G182" s="58">
        <f t="shared" si="62"/>
        <v>-0.81</v>
      </c>
      <c r="H182" s="58">
        <f t="shared" si="62"/>
        <v>3.36333333333333</v>
      </c>
      <c r="I182" s="58"/>
      <c r="J182" s="58">
        <f t="shared" si="62"/>
        <v>30.14</v>
      </c>
      <c r="K182" s="58">
        <f t="shared" si="62"/>
        <v>0.453333333333333</v>
      </c>
      <c r="L182" s="58">
        <f t="shared" si="62"/>
        <v>6.07</v>
      </c>
      <c r="Q182" s="30" t="s">
        <v>118</v>
      </c>
      <c r="R182" s="58">
        <v>5.15</v>
      </c>
      <c r="S182" s="58">
        <v>5.19</v>
      </c>
      <c r="T182" s="58">
        <v>5.2</v>
      </c>
      <c r="V182" s="59">
        <v>5.18</v>
      </c>
      <c r="W182" s="59">
        <v>0.02646</v>
      </c>
      <c r="Y182" s="30" t="s">
        <v>56</v>
      </c>
      <c r="Z182" s="30" t="s">
        <v>88</v>
      </c>
      <c r="AA182" s="59">
        <v>1.71</v>
      </c>
      <c r="AB182" s="59">
        <v>0.51</v>
      </c>
      <c r="AC182" s="59">
        <v>4.25</v>
      </c>
      <c r="AD182">
        <f t="shared" ref="AD182:AD188" si="63">AA182*AA182+AB182*AB182+AC182*AC182</f>
        <v>21.2467</v>
      </c>
      <c r="AE182" s="59">
        <f t="shared" ref="AE182:AE188" si="64">POWER(AD182,0.5)</f>
        <v>4.60941427949365</v>
      </c>
    </row>
    <row r="183" spans="2:31"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O183" s="30" t="s">
        <v>57</v>
      </c>
      <c r="P183" s="30" t="s">
        <v>88</v>
      </c>
      <c r="Q183" s="30" t="s">
        <v>115</v>
      </c>
      <c r="R183" s="58">
        <v>33.13</v>
      </c>
      <c r="S183" s="58">
        <v>33.14</v>
      </c>
      <c r="T183" s="58">
        <v>33.13</v>
      </c>
      <c r="V183" s="59">
        <v>33.13333</v>
      </c>
      <c r="W183" s="59">
        <v>0.00577</v>
      </c>
      <c r="Y183" s="30"/>
      <c r="Z183" s="30"/>
      <c r="AE183" s="59"/>
    </row>
    <row r="184" spans="1:31">
      <c r="A184" s="30" t="s">
        <v>94</v>
      </c>
      <c r="B184" s="58">
        <v>30.52</v>
      </c>
      <c r="C184" s="58">
        <v>-0.5</v>
      </c>
      <c r="D184" s="58">
        <v>5</v>
      </c>
      <c r="E184" s="57" t="s">
        <v>95</v>
      </c>
      <c r="F184" s="57">
        <v>32.42</v>
      </c>
      <c r="G184" s="57">
        <v>-0.57</v>
      </c>
      <c r="H184" s="57">
        <v>2.81</v>
      </c>
      <c r="I184" s="58"/>
      <c r="J184" s="58">
        <v>32.06</v>
      </c>
      <c r="K184" s="58">
        <v>-0.47</v>
      </c>
      <c r="L184" s="58">
        <v>5.91</v>
      </c>
      <c r="Q184" s="30" t="s">
        <v>116</v>
      </c>
      <c r="R184" s="58">
        <v>-0.81</v>
      </c>
      <c r="S184" s="58">
        <v>-0.81</v>
      </c>
      <c r="T184" s="58">
        <v>-0.81</v>
      </c>
      <c r="V184" s="59">
        <v>-0.81</v>
      </c>
      <c r="W184" s="59">
        <v>0</v>
      </c>
      <c r="Y184" s="30" t="s">
        <v>57</v>
      </c>
      <c r="Z184" s="30" t="s">
        <v>86</v>
      </c>
      <c r="AA184">
        <v>2.28</v>
      </c>
      <c r="AB184">
        <v>1.29</v>
      </c>
      <c r="AC184">
        <v>0.89</v>
      </c>
      <c r="AD184">
        <f t="shared" si="63"/>
        <v>7.6546</v>
      </c>
      <c r="AE184" s="59">
        <f t="shared" si="64"/>
        <v>2.76669477897364</v>
      </c>
    </row>
    <row r="185" spans="2:31">
      <c r="B185" s="58">
        <v>30.72</v>
      </c>
      <c r="C185" s="58">
        <v>-0.47</v>
      </c>
      <c r="D185" s="58">
        <v>5.06</v>
      </c>
      <c r="E185" s="58"/>
      <c r="F185" s="58">
        <v>32.46</v>
      </c>
      <c r="G185" s="58">
        <v>-0.57</v>
      </c>
      <c r="H185" s="58">
        <v>2.83</v>
      </c>
      <c r="I185" s="58"/>
      <c r="J185" s="58">
        <v>32.08</v>
      </c>
      <c r="K185" s="58">
        <v>-0.51</v>
      </c>
      <c r="L185" s="58">
        <v>5.94</v>
      </c>
      <c r="Q185" s="30" t="s">
        <v>118</v>
      </c>
      <c r="R185" s="58">
        <v>3.37</v>
      </c>
      <c r="S185" s="58">
        <v>3.36</v>
      </c>
      <c r="T185" s="58">
        <v>3.36</v>
      </c>
      <c r="V185" s="59">
        <v>3.36333</v>
      </c>
      <c r="W185" s="59">
        <v>0.00577</v>
      </c>
      <c r="Y185" s="30" t="s">
        <v>57</v>
      </c>
      <c r="Z185" s="30" t="s">
        <v>88</v>
      </c>
      <c r="AA185">
        <v>2.99</v>
      </c>
      <c r="AB185">
        <v>1.26</v>
      </c>
      <c r="AC185">
        <v>2.71</v>
      </c>
      <c r="AD185">
        <f t="shared" si="63"/>
        <v>17.8718</v>
      </c>
      <c r="AE185" s="59">
        <f t="shared" si="64"/>
        <v>4.22750517444982</v>
      </c>
    </row>
    <row r="186" spans="2:31">
      <c r="B186" s="58">
        <v>30.71</v>
      </c>
      <c r="C186" s="58">
        <v>-0.48</v>
      </c>
      <c r="D186" s="58">
        <v>5.08</v>
      </c>
      <c r="E186" s="58"/>
      <c r="F186" s="58">
        <v>32.44</v>
      </c>
      <c r="G186" s="58">
        <v>-0.58</v>
      </c>
      <c r="H186" s="58">
        <v>2.82</v>
      </c>
      <c r="I186" s="58"/>
      <c r="J186" s="58">
        <v>32.07</v>
      </c>
      <c r="K186" s="58">
        <v>-0.48</v>
      </c>
      <c r="L186" s="58">
        <v>5.91</v>
      </c>
      <c r="O186" s="30" t="s">
        <v>57</v>
      </c>
      <c r="P186" s="30" t="s">
        <v>90</v>
      </c>
      <c r="Q186" t="s">
        <v>115</v>
      </c>
      <c r="R186" s="58">
        <v>30.16</v>
      </c>
      <c r="S186" s="58">
        <v>30.12</v>
      </c>
      <c r="T186" s="58">
        <v>30.14</v>
      </c>
      <c r="V186" s="59">
        <v>30.14</v>
      </c>
      <c r="W186" s="59">
        <v>0.02</v>
      </c>
      <c r="Y186" s="30"/>
      <c r="Z186" s="30"/>
      <c r="AE186" s="59"/>
    </row>
    <row r="187" spans="1:31">
      <c r="A187" s="30" t="s">
        <v>119</v>
      </c>
      <c r="B187" s="58">
        <f>(B184+B185+B186)/3</f>
        <v>30.65</v>
      </c>
      <c r="C187" s="58">
        <f t="shared" ref="C187:L187" si="65">(C184+C185+C186)/3</f>
        <v>-0.483333333333333</v>
      </c>
      <c r="D187" s="58">
        <f t="shared" si="65"/>
        <v>5.04666666666667</v>
      </c>
      <c r="E187" s="58"/>
      <c r="F187" s="58">
        <f t="shared" si="65"/>
        <v>32.44</v>
      </c>
      <c r="G187" s="58">
        <f t="shared" si="65"/>
        <v>-0.573333333333333</v>
      </c>
      <c r="H187" s="58">
        <f t="shared" si="65"/>
        <v>2.82</v>
      </c>
      <c r="I187" s="58"/>
      <c r="J187" s="58">
        <f t="shared" si="65"/>
        <v>32.07</v>
      </c>
      <c r="K187" s="58">
        <f t="shared" si="65"/>
        <v>-0.486666666666667</v>
      </c>
      <c r="L187" s="58">
        <f t="shared" si="65"/>
        <v>5.92</v>
      </c>
      <c r="Q187" t="s">
        <v>116</v>
      </c>
      <c r="R187" s="58">
        <v>0.44</v>
      </c>
      <c r="S187" s="58">
        <v>0.46</v>
      </c>
      <c r="T187" s="58">
        <v>0.46</v>
      </c>
      <c r="V187" s="59">
        <v>0.45333</v>
      </c>
      <c r="W187" s="59">
        <v>0.01155</v>
      </c>
      <c r="Y187" s="30" t="s">
        <v>59</v>
      </c>
      <c r="Z187" s="30" t="s">
        <v>86</v>
      </c>
      <c r="AA187">
        <v>1.42</v>
      </c>
      <c r="AB187">
        <v>0.01</v>
      </c>
      <c r="AC187">
        <v>0.87</v>
      </c>
      <c r="AD187">
        <f t="shared" si="63"/>
        <v>2.7734</v>
      </c>
      <c r="AE187" s="59">
        <f t="shared" si="64"/>
        <v>1.66535281547184</v>
      </c>
    </row>
    <row r="188" spans="17:31">
      <c r="Q188" t="s">
        <v>118</v>
      </c>
      <c r="R188" s="58">
        <v>6.1</v>
      </c>
      <c r="S188" s="58">
        <v>6.03</v>
      </c>
      <c r="T188" s="58">
        <v>6.08</v>
      </c>
      <c r="V188" s="59">
        <v>6.07</v>
      </c>
      <c r="W188" s="59">
        <v>0.03606</v>
      </c>
      <c r="Y188" s="30" t="s">
        <v>59</v>
      </c>
      <c r="Z188" s="30" t="s">
        <v>88</v>
      </c>
      <c r="AA188">
        <v>0.37</v>
      </c>
      <c r="AB188">
        <v>0.09</v>
      </c>
      <c r="AC188">
        <v>3.1</v>
      </c>
      <c r="AD188">
        <f t="shared" si="63"/>
        <v>9.755</v>
      </c>
      <c r="AE188" s="59">
        <f t="shared" si="64"/>
        <v>3.12329953734828</v>
      </c>
    </row>
    <row r="189" spans="22:27">
      <c r="V189" s="59" t="s">
        <v>120</v>
      </c>
      <c r="W189" s="59" t="s">
        <v>120</v>
      </c>
      <c r="Y189" s="30"/>
      <c r="Z189" s="30"/>
      <c r="AA189" s="30"/>
    </row>
    <row r="190" spans="15:27">
      <c r="O190" s="30" t="s">
        <v>59</v>
      </c>
      <c r="P190" s="30" t="s">
        <v>86</v>
      </c>
      <c r="Q190" s="30" t="s">
        <v>115</v>
      </c>
      <c r="R190" s="58">
        <v>30.52</v>
      </c>
      <c r="S190" s="58">
        <v>30.72</v>
      </c>
      <c r="T190" s="58">
        <v>30.71</v>
      </c>
      <c r="V190" s="59">
        <v>30.65</v>
      </c>
      <c r="W190" s="59">
        <v>0.11269</v>
      </c>
      <c r="Z190" s="30"/>
      <c r="AA190" s="30"/>
    </row>
    <row r="191" spans="10:23">
      <c r="J191" s="30" t="s">
        <v>124</v>
      </c>
      <c r="Q191" s="30" t="s">
        <v>116</v>
      </c>
      <c r="R191" s="58">
        <v>-0.5</v>
      </c>
      <c r="S191" s="58">
        <v>-0.47</v>
      </c>
      <c r="T191" s="58">
        <v>-0.48</v>
      </c>
      <c r="V191" s="59">
        <v>-0.48333</v>
      </c>
      <c r="W191" s="59">
        <v>0.01528</v>
      </c>
    </row>
    <row r="192" spans="17:23">
      <c r="Q192" s="30" t="s">
        <v>118</v>
      </c>
      <c r="R192" s="58">
        <v>5</v>
      </c>
      <c r="S192" s="58">
        <v>5.06</v>
      </c>
      <c r="T192" s="58">
        <v>5.08</v>
      </c>
      <c r="V192" s="59">
        <v>5.04667</v>
      </c>
      <c r="W192" s="59">
        <v>0.04163</v>
      </c>
    </row>
    <row r="193" spans="1:23">
      <c r="A193" s="30" t="s">
        <v>85</v>
      </c>
      <c r="B193" s="58">
        <v>31.47</v>
      </c>
      <c r="C193" s="58">
        <v>-0.73</v>
      </c>
      <c r="D193" s="58">
        <v>4.31</v>
      </c>
      <c r="E193" s="58"/>
      <c r="F193" s="58">
        <v>33.32</v>
      </c>
      <c r="G193" s="58">
        <v>-0.58</v>
      </c>
      <c r="H193" s="58">
        <v>1.3</v>
      </c>
      <c r="I193" s="58"/>
      <c r="J193" s="58">
        <v>31.62</v>
      </c>
      <c r="K193" s="58">
        <v>-0.09</v>
      </c>
      <c r="L193" s="58">
        <v>5.55</v>
      </c>
      <c r="O193" s="30" t="s">
        <v>59</v>
      </c>
      <c r="P193" s="30" t="s">
        <v>88</v>
      </c>
      <c r="Q193" s="30" t="s">
        <v>115</v>
      </c>
      <c r="R193" s="57">
        <v>32.42</v>
      </c>
      <c r="S193" s="58">
        <v>32.46</v>
      </c>
      <c r="T193" s="58">
        <v>32.44</v>
      </c>
      <c r="V193" s="59">
        <v>32.44</v>
      </c>
      <c r="W193" s="59">
        <v>0.02</v>
      </c>
    </row>
    <row r="194" spans="2:23">
      <c r="B194" s="58">
        <v>31.69</v>
      </c>
      <c r="C194" s="58">
        <v>-0.78</v>
      </c>
      <c r="D194" s="58">
        <v>4.39</v>
      </c>
      <c r="E194" s="58"/>
      <c r="F194" s="58">
        <v>33.35</v>
      </c>
      <c r="G194" s="58">
        <v>-0.63</v>
      </c>
      <c r="H194" s="58">
        <v>1.34</v>
      </c>
      <c r="I194" s="58"/>
      <c r="J194" s="58">
        <v>31.63</v>
      </c>
      <c r="K194" s="58">
        <v>-0.1</v>
      </c>
      <c r="L194" s="58">
        <v>5.57</v>
      </c>
      <c r="Q194" s="30" t="s">
        <v>116</v>
      </c>
      <c r="R194" s="57">
        <v>-0.57</v>
      </c>
      <c r="S194" s="58">
        <v>-0.57</v>
      </c>
      <c r="T194" s="58">
        <v>-0.58</v>
      </c>
      <c r="V194" s="59">
        <v>-0.57333</v>
      </c>
      <c r="W194" s="59">
        <v>0.00577</v>
      </c>
    </row>
    <row r="195" spans="1:23">
      <c r="A195" s="30"/>
      <c r="B195" s="58">
        <v>31.7</v>
      </c>
      <c r="C195" s="58">
        <v>-0.76</v>
      </c>
      <c r="D195" s="58">
        <v>4.38</v>
      </c>
      <c r="E195" s="58"/>
      <c r="F195" s="58">
        <v>33.34</v>
      </c>
      <c r="G195" s="58">
        <v>-0.6</v>
      </c>
      <c r="H195" s="58">
        <v>1.31</v>
      </c>
      <c r="I195" s="58"/>
      <c r="J195" s="58">
        <v>31.63</v>
      </c>
      <c r="K195" s="58">
        <v>-0.09</v>
      </c>
      <c r="L195" s="58">
        <v>5.57</v>
      </c>
      <c r="Q195" s="30" t="s">
        <v>118</v>
      </c>
      <c r="R195" s="57">
        <v>2.81</v>
      </c>
      <c r="S195" s="58">
        <v>2.83</v>
      </c>
      <c r="T195" s="58">
        <v>2.82</v>
      </c>
      <c r="V195" s="59">
        <v>2.82</v>
      </c>
      <c r="W195" s="59">
        <v>0.01</v>
      </c>
    </row>
    <row r="196" spans="1:23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O196" s="30" t="s">
        <v>59</v>
      </c>
      <c r="P196" s="30" t="s">
        <v>90</v>
      </c>
      <c r="Q196" t="s">
        <v>115</v>
      </c>
      <c r="R196" s="58">
        <v>32.06</v>
      </c>
      <c r="S196" s="58">
        <v>32.08</v>
      </c>
      <c r="T196" s="58">
        <v>32.07</v>
      </c>
      <c r="V196" s="59">
        <v>32.07</v>
      </c>
      <c r="W196" s="59">
        <v>0.01</v>
      </c>
    </row>
    <row r="197" spans="1:23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Q197" t="s">
        <v>116</v>
      </c>
      <c r="R197" s="58">
        <v>-0.47</v>
      </c>
      <c r="S197" s="58">
        <v>-0.51</v>
      </c>
      <c r="T197" s="58">
        <v>-0.48</v>
      </c>
      <c r="V197" s="59">
        <v>-0.48667</v>
      </c>
      <c r="W197" s="59">
        <v>0.02082</v>
      </c>
    </row>
    <row r="198" spans="5:23">
      <c r="E198" s="58"/>
      <c r="I198" s="58"/>
      <c r="Q198" t="s">
        <v>118</v>
      </c>
      <c r="R198" s="58">
        <v>5.91</v>
      </c>
      <c r="S198" s="58">
        <v>5.94</v>
      </c>
      <c r="T198" s="58">
        <v>5.91</v>
      </c>
      <c r="V198" s="59">
        <v>5.92</v>
      </c>
      <c r="W198" s="59">
        <v>0.01732</v>
      </c>
    </row>
    <row r="199" spans="5:9">
      <c r="E199" s="58"/>
      <c r="I199" s="58"/>
    </row>
    <row r="200" spans="1:12">
      <c r="A200" s="30" t="s">
        <v>91</v>
      </c>
      <c r="B200" s="58">
        <v>32.38</v>
      </c>
      <c r="C200" s="58">
        <v>-0.85</v>
      </c>
      <c r="D200" s="58">
        <v>5.15</v>
      </c>
      <c r="E200" s="58"/>
      <c r="F200" s="58">
        <v>33.13</v>
      </c>
      <c r="G200" s="58">
        <v>-0.81</v>
      </c>
      <c r="H200" s="58">
        <v>3.37</v>
      </c>
      <c r="I200" s="58"/>
      <c r="J200" s="58">
        <v>30.16</v>
      </c>
      <c r="K200" s="58">
        <v>0.44</v>
      </c>
      <c r="L200" s="58">
        <v>6.1</v>
      </c>
    </row>
    <row r="201" spans="2:12">
      <c r="B201" s="58">
        <v>32.45</v>
      </c>
      <c r="C201" s="58">
        <v>-0.83</v>
      </c>
      <c r="D201" s="58">
        <v>5.19</v>
      </c>
      <c r="E201" s="58"/>
      <c r="F201" s="58">
        <v>33.14</v>
      </c>
      <c r="G201" s="58">
        <v>-0.81</v>
      </c>
      <c r="H201" s="58">
        <v>3.36</v>
      </c>
      <c r="I201" s="58"/>
      <c r="J201" s="58">
        <v>30.12</v>
      </c>
      <c r="K201" s="58">
        <v>0.46</v>
      </c>
      <c r="L201" s="58">
        <v>6.03</v>
      </c>
    </row>
    <row r="202" spans="1:12">
      <c r="A202" s="30" t="s">
        <v>125</v>
      </c>
      <c r="B202" s="58">
        <v>32.44</v>
      </c>
      <c r="C202" s="58">
        <v>-0.84</v>
      </c>
      <c r="D202" s="58">
        <v>5.2</v>
      </c>
      <c r="E202" s="58"/>
      <c r="F202" s="58">
        <v>33.13</v>
      </c>
      <c r="G202" s="58">
        <v>-0.81</v>
      </c>
      <c r="H202" s="58">
        <v>3.36</v>
      </c>
      <c r="I202" s="58"/>
      <c r="J202" s="58">
        <v>30.14</v>
      </c>
      <c r="K202" s="58">
        <v>0.46</v>
      </c>
      <c r="L202" s="58">
        <v>6.08</v>
      </c>
    </row>
    <row r="203" spans="1:12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</row>
    <row r="204" spans="1:12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</row>
    <row r="205" spans="5:9">
      <c r="E205" s="58"/>
      <c r="I205" s="58"/>
    </row>
    <row r="206" spans="5:9">
      <c r="E206" s="58"/>
      <c r="I206" s="58"/>
    </row>
    <row r="207" spans="1:12">
      <c r="A207" s="30" t="s">
        <v>94</v>
      </c>
      <c r="B207" s="58">
        <v>30.52</v>
      </c>
      <c r="C207" s="58">
        <v>-0.5</v>
      </c>
      <c r="D207" s="58">
        <v>5</v>
      </c>
      <c r="E207" s="58"/>
      <c r="F207" s="57">
        <v>32.42</v>
      </c>
      <c r="G207" s="57">
        <v>-0.57</v>
      </c>
      <c r="H207" s="57">
        <v>2.81</v>
      </c>
      <c r="I207" s="58"/>
      <c r="J207" s="58">
        <v>32.06</v>
      </c>
      <c r="K207" s="58">
        <v>-0.47</v>
      </c>
      <c r="L207" s="58">
        <v>5.91</v>
      </c>
    </row>
    <row r="208" spans="2:12">
      <c r="B208" s="58">
        <v>30.72</v>
      </c>
      <c r="C208" s="58">
        <v>-0.47</v>
      </c>
      <c r="D208" s="58">
        <v>5.06</v>
      </c>
      <c r="E208" s="58"/>
      <c r="F208" s="58">
        <v>32.46</v>
      </c>
      <c r="G208" s="58">
        <v>-0.57</v>
      </c>
      <c r="H208" s="58">
        <v>2.83</v>
      </c>
      <c r="I208" s="58"/>
      <c r="J208" s="58">
        <v>32.08</v>
      </c>
      <c r="K208" s="58">
        <v>-0.51</v>
      </c>
      <c r="L208" s="58">
        <v>5.94</v>
      </c>
    </row>
    <row r="209" spans="1:12">
      <c r="A209" s="30" t="s">
        <v>125</v>
      </c>
      <c r="B209" s="58">
        <v>30.71</v>
      </c>
      <c r="C209" s="58">
        <v>-0.48</v>
      </c>
      <c r="D209" s="58">
        <v>5.08</v>
      </c>
      <c r="E209" s="58"/>
      <c r="F209" s="58">
        <v>32.44</v>
      </c>
      <c r="G209" s="58">
        <v>-0.58</v>
      </c>
      <c r="H209" s="58">
        <v>2.82</v>
      </c>
      <c r="I209" s="58"/>
      <c r="J209" s="58">
        <v>32.07</v>
      </c>
      <c r="K209" s="58">
        <v>-0.48</v>
      </c>
      <c r="L209" s="58">
        <v>5.91</v>
      </c>
    </row>
    <row r="210" spans="1:12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</row>
    <row r="211" spans="1:12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</row>
    <row r="212" spans="9:9">
      <c r="I212" s="58"/>
    </row>
    <row r="213" spans="9:9">
      <c r="I213" s="58"/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S144"/>
  <sheetViews>
    <sheetView zoomScale="70" zoomScaleNormal="70" topLeftCell="A53" workbookViewId="0">
      <selection activeCell="N143" sqref="N143"/>
    </sheetView>
  </sheetViews>
  <sheetFormatPr defaultColWidth="8.66666666666667" defaultRowHeight="14.25"/>
  <cols>
    <col min="1" max="1" width="7.16666666666667" customWidth="1"/>
    <col min="2" max="2" width="10.9166666666667" customWidth="1"/>
    <col min="3" max="3" width="9.66666666666667"/>
    <col min="4" max="4" width="9.55" customWidth="1"/>
    <col min="5" max="5" width="10.5"/>
    <col min="6" max="9" width="9.66666666666667"/>
    <col min="13" max="13" width="11.6666666666667" customWidth="1"/>
    <col min="14" max="14" width="11.75" customWidth="1"/>
    <col min="15" max="15" width="10.5"/>
    <col min="16" max="18" width="9.66666666666667"/>
  </cols>
  <sheetData>
    <row r="2" spans="2:2">
      <c r="B2" s="19" t="s">
        <v>126</v>
      </c>
    </row>
    <row r="4" ht="15"/>
    <row r="5" ht="15.75" spans="2:9">
      <c r="B5" s="20" t="s">
        <v>127</v>
      </c>
      <c r="C5" s="20" t="s">
        <v>128</v>
      </c>
      <c r="D5" s="20" t="s">
        <v>129</v>
      </c>
      <c r="E5" s="20" t="s">
        <v>130</v>
      </c>
      <c r="F5" s="20" t="s">
        <v>131</v>
      </c>
      <c r="G5" s="20" t="s">
        <v>132</v>
      </c>
      <c r="H5" s="20" t="s">
        <v>133</v>
      </c>
      <c r="I5" s="20" t="s">
        <v>134</v>
      </c>
    </row>
    <row r="6" spans="2:9">
      <c r="B6" s="21" t="s">
        <v>135</v>
      </c>
      <c r="C6" s="22">
        <v>6.96</v>
      </c>
      <c r="D6" s="22">
        <v>-2.25</v>
      </c>
      <c r="E6" s="22">
        <v>-0.27</v>
      </c>
      <c r="F6" s="22">
        <v>2.82</v>
      </c>
      <c r="G6" s="22">
        <v>13.57</v>
      </c>
      <c r="H6" s="22">
        <v>3.62</v>
      </c>
      <c r="I6" s="22">
        <v>20.11</v>
      </c>
    </row>
    <row r="7" spans="2:9">
      <c r="B7" s="21" t="s">
        <v>136</v>
      </c>
      <c r="C7" s="22">
        <v>3.69</v>
      </c>
      <c r="D7" s="22">
        <v>-8.07</v>
      </c>
      <c r="E7" s="22">
        <v>-0.22</v>
      </c>
      <c r="F7" s="22">
        <v>3.49</v>
      </c>
      <c r="G7" s="22">
        <v>16.77</v>
      </c>
      <c r="H7" s="22">
        <v>6.85</v>
      </c>
      <c r="I7" s="22">
        <v>17.08</v>
      </c>
    </row>
    <row r="8" spans="2:9">
      <c r="B8" s="21" t="s">
        <v>137</v>
      </c>
      <c r="C8" s="22">
        <v>1.55</v>
      </c>
      <c r="D8" s="22">
        <v>-12.37</v>
      </c>
      <c r="E8" s="22">
        <v>-0.2</v>
      </c>
      <c r="F8" s="22">
        <v>3.9</v>
      </c>
      <c r="G8" s="22">
        <v>19.99</v>
      </c>
      <c r="H8" s="22">
        <v>10.33</v>
      </c>
      <c r="I8" s="22">
        <v>18.09</v>
      </c>
    </row>
    <row r="9" spans="2:9">
      <c r="B9" s="21" t="s">
        <v>138</v>
      </c>
      <c r="C9" s="22">
        <v>7.29</v>
      </c>
      <c r="D9" s="22">
        <v>1.04</v>
      </c>
      <c r="E9" s="22">
        <v>-0.33</v>
      </c>
      <c r="F9" s="22">
        <v>1.92</v>
      </c>
      <c r="G9" s="22">
        <v>12.12</v>
      </c>
      <c r="H9" s="22">
        <v>2.35</v>
      </c>
      <c r="I9" s="22">
        <v>21.01</v>
      </c>
    </row>
    <row r="10" spans="2:9">
      <c r="B10" s="21" t="s">
        <v>139</v>
      </c>
      <c r="C10" s="22">
        <v>3.56</v>
      </c>
      <c r="D10" s="22">
        <v>-8.37</v>
      </c>
      <c r="E10" s="22">
        <v>-0.2</v>
      </c>
      <c r="F10" s="22">
        <v>3.21</v>
      </c>
      <c r="G10" s="22">
        <v>16.64</v>
      </c>
      <c r="H10" s="22">
        <v>6.62</v>
      </c>
      <c r="I10" s="22">
        <v>19.64</v>
      </c>
    </row>
    <row r="11" spans="2:9">
      <c r="B11" s="21" t="s">
        <v>140</v>
      </c>
      <c r="C11" s="22">
        <v>2.32</v>
      </c>
      <c r="D11" s="22">
        <v>-10.72</v>
      </c>
      <c r="E11" s="22">
        <v>-0.1</v>
      </c>
      <c r="F11" s="22">
        <v>3.31</v>
      </c>
      <c r="G11" s="22">
        <v>18.26</v>
      </c>
      <c r="H11" s="22">
        <v>8.38</v>
      </c>
      <c r="I11" s="22">
        <v>20.34</v>
      </c>
    </row>
    <row r="12" spans="2:9">
      <c r="B12" s="21" t="s">
        <v>141</v>
      </c>
      <c r="C12" s="22">
        <v>6.73</v>
      </c>
      <c r="D12" s="22">
        <v>-2.17</v>
      </c>
      <c r="E12" s="22">
        <v>-0.2</v>
      </c>
      <c r="F12" s="22">
        <v>2.16</v>
      </c>
      <c r="G12" s="22">
        <v>12.83</v>
      </c>
      <c r="H12" s="22">
        <v>3.32</v>
      </c>
      <c r="I12" s="22">
        <v>19.76</v>
      </c>
    </row>
    <row r="13" spans="2:9">
      <c r="B13" s="21" t="s">
        <v>142</v>
      </c>
      <c r="C13" s="22">
        <v>3.2</v>
      </c>
      <c r="D13" s="22">
        <v>-9.14</v>
      </c>
      <c r="E13" s="22">
        <v>-0.13</v>
      </c>
      <c r="F13" s="22">
        <v>3.05</v>
      </c>
      <c r="G13" s="22">
        <v>17.09</v>
      </c>
      <c r="H13" s="22">
        <v>7.38</v>
      </c>
      <c r="I13" s="22">
        <v>18.59</v>
      </c>
    </row>
    <row r="14" ht="15" spans="2:9">
      <c r="B14" s="21" t="s">
        <v>143</v>
      </c>
      <c r="C14" s="23">
        <v>0.86</v>
      </c>
      <c r="D14" s="23">
        <v>-13.95</v>
      </c>
      <c r="E14" s="23">
        <v>-0.02</v>
      </c>
      <c r="F14" s="23">
        <v>3.42</v>
      </c>
      <c r="G14" s="23">
        <v>21.07</v>
      </c>
      <c r="H14" s="23">
        <v>12.4</v>
      </c>
      <c r="I14" s="23">
        <v>19.48</v>
      </c>
    </row>
    <row r="15" ht="15"/>
    <row r="22" ht="15"/>
    <row r="23" ht="15.75" spans="2:10">
      <c r="B23" s="20" t="s">
        <v>144</v>
      </c>
      <c r="C23" s="20" t="s">
        <v>127</v>
      </c>
      <c r="D23" s="20" t="s">
        <v>128</v>
      </c>
      <c r="E23" s="20" t="s">
        <v>129</v>
      </c>
      <c r="F23" s="20" t="s">
        <v>130</v>
      </c>
      <c r="G23" s="20" t="s">
        <v>131</v>
      </c>
      <c r="H23" s="20" t="s">
        <v>132</v>
      </c>
      <c r="I23" s="20" t="s">
        <v>133</v>
      </c>
      <c r="J23" s="20" t="s">
        <v>134</v>
      </c>
    </row>
    <row r="24" spans="2:10">
      <c r="B24" s="24" t="s">
        <v>145</v>
      </c>
      <c r="C24" s="24"/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</row>
    <row r="25" spans="2:10">
      <c r="B25" s="22">
        <v>80</v>
      </c>
      <c r="C25" s="22">
        <v>1</v>
      </c>
      <c r="D25" s="22" t="s">
        <v>146</v>
      </c>
      <c r="E25" s="22" t="s">
        <v>147</v>
      </c>
      <c r="F25" s="22" t="s">
        <v>148</v>
      </c>
      <c r="G25" s="22" t="s">
        <v>149</v>
      </c>
      <c r="H25" s="22" t="s">
        <v>150</v>
      </c>
      <c r="I25" s="22" t="s">
        <v>151</v>
      </c>
      <c r="J25" s="22" t="s">
        <v>152</v>
      </c>
    </row>
    <row r="26" spans="2:10">
      <c r="B26" s="22"/>
      <c r="C26" s="22">
        <v>2</v>
      </c>
      <c r="D26" s="22" t="s">
        <v>153</v>
      </c>
      <c r="E26" s="22" t="s">
        <v>154</v>
      </c>
      <c r="F26" s="22" t="s">
        <v>155</v>
      </c>
      <c r="G26" s="22" t="s">
        <v>156</v>
      </c>
      <c r="H26" s="22" t="s">
        <v>157</v>
      </c>
      <c r="I26" s="22" t="s">
        <v>158</v>
      </c>
      <c r="J26" s="22" t="s">
        <v>159</v>
      </c>
    </row>
    <row r="27" spans="2:10">
      <c r="B27" s="22"/>
      <c r="C27" s="22">
        <v>3</v>
      </c>
      <c r="D27" s="22" t="s">
        <v>160</v>
      </c>
      <c r="E27" s="22" t="s">
        <v>161</v>
      </c>
      <c r="F27" s="22" t="s">
        <v>162</v>
      </c>
      <c r="G27" s="22" t="s">
        <v>163</v>
      </c>
      <c r="H27" s="22" t="s">
        <v>164</v>
      </c>
      <c r="I27" s="22" t="s">
        <v>165</v>
      </c>
      <c r="J27" s="22" t="s">
        <v>166</v>
      </c>
    </row>
    <row r="28" spans="2:10">
      <c r="B28" s="22">
        <v>90</v>
      </c>
      <c r="C28" s="22">
        <v>1</v>
      </c>
      <c r="D28" s="22" t="s">
        <v>167</v>
      </c>
      <c r="E28" s="22" t="s">
        <v>168</v>
      </c>
      <c r="F28" s="22" t="s">
        <v>169</v>
      </c>
      <c r="G28" s="22" t="s">
        <v>170</v>
      </c>
      <c r="H28" s="22" t="s">
        <v>171</v>
      </c>
      <c r="I28" s="22" t="s">
        <v>172</v>
      </c>
      <c r="J28" s="22" t="s">
        <v>173</v>
      </c>
    </row>
    <row r="29" spans="2:10">
      <c r="B29" s="22"/>
      <c r="C29" s="22">
        <v>2</v>
      </c>
      <c r="D29" s="22" t="s">
        <v>174</v>
      </c>
      <c r="E29" s="22" t="s">
        <v>175</v>
      </c>
      <c r="F29" s="22" t="s">
        <v>176</v>
      </c>
      <c r="G29" s="22" t="s">
        <v>177</v>
      </c>
      <c r="H29" s="22" t="s">
        <v>178</v>
      </c>
      <c r="I29" s="22" t="s">
        <v>179</v>
      </c>
      <c r="J29" s="22" t="s">
        <v>180</v>
      </c>
    </row>
    <row r="30" spans="2:10">
      <c r="B30" s="22"/>
      <c r="C30" s="22">
        <v>3</v>
      </c>
      <c r="D30" s="22" t="s">
        <v>181</v>
      </c>
      <c r="E30" s="22" t="s">
        <v>182</v>
      </c>
      <c r="F30" s="22" t="s">
        <v>183</v>
      </c>
      <c r="G30" s="22" t="s">
        <v>184</v>
      </c>
      <c r="H30" s="22" t="s">
        <v>185</v>
      </c>
      <c r="I30" s="22" t="s">
        <v>186</v>
      </c>
      <c r="J30" s="22" t="s">
        <v>187</v>
      </c>
    </row>
    <row r="31" spans="2:10">
      <c r="B31" s="22">
        <v>100</v>
      </c>
      <c r="C31" s="22">
        <v>1</v>
      </c>
      <c r="D31" s="22" t="s">
        <v>188</v>
      </c>
      <c r="E31" s="22" t="s">
        <v>189</v>
      </c>
      <c r="F31" s="22" t="s">
        <v>176</v>
      </c>
      <c r="G31" s="22" t="s">
        <v>190</v>
      </c>
      <c r="H31" s="22" t="s">
        <v>191</v>
      </c>
      <c r="I31" s="22" t="s">
        <v>192</v>
      </c>
      <c r="J31" s="22" t="s">
        <v>193</v>
      </c>
    </row>
    <row r="32" spans="2:10">
      <c r="B32" s="22"/>
      <c r="C32" s="22">
        <v>2</v>
      </c>
      <c r="D32" s="22" t="s">
        <v>194</v>
      </c>
      <c r="E32" s="22" t="s">
        <v>195</v>
      </c>
      <c r="F32" s="22" t="s">
        <v>196</v>
      </c>
      <c r="G32" s="22" t="s">
        <v>197</v>
      </c>
      <c r="H32" s="22" t="s">
        <v>198</v>
      </c>
      <c r="I32" s="22" t="s">
        <v>199</v>
      </c>
      <c r="J32" s="22" t="s">
        <v>200</v>
      </c>
    </row>
    <row r="33" ht="15" spans="2:10">
      <c r="B33" s="22"/>
      <c r="C33" s="23">
        <v>3</v>
      </c>
      <c r="D33" s="23" t="s">
        <v>201</v>
      </c>
      <c r="E33" s="23" t="s">
        <v>202</v>
      </c>
      <c r="F33" s="23" t="s">
        <v>203</v>
      </c>
      <c r="G33" s="23" t="s">
        <v>204</v>
      </c>
      <c r="H33" s="23" t="s">
        <v>205</v>
      </c>
      <c r="I33" s="23" t="s">
        <v>206</v>
      </c>
      <c r="J33" s="23" t="s">
        <v>207</v>
      </c>
    </row>
    <row r="34" ht="15"/>
    <row r="35" spans="2:2">
      <c r="B35" s="19" t="s">
        <v>208</v>
      </c>
    </row>
    <row r="36" ht="15"/>
    <row r="37" ht="15.75" spans="2:10">
      <c r="B37" s="20" t="s">
        <v>208</v>
      </c>
      <c r="C37" s="20"/>
      <c r="D37" s="20" t="s">
        <v>128</v>
      </c>
      <c r="E37" s="20" t="s">
        <v>129</v>
      </c>
      <c r="F37" s="20" t="s">
        <v>130</v>
      </c>
      <c r="G37" s="20" t="s">
        <v>131</v>
      </c>
      <c r="H37" s="20" t="s">
        <v>132</v>
      </c>
      <c r="I37" s="20" t="s">
        <v>133</v>
      </c>
      <c r="J37" s="20" t="s">
        <v>134</v>
      </c>
    </row>
    <row r="38" spans="2:10">
      <c r="B38" s="24" t="s">
        <v>145</v>
      </c>
      <c r="C38" s="24"/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</row>
    <row r="39" spans="2:10">
      <c r="B39" s="22"/>
      <c r="C39" s="25">
        <v>1</v>
      </c>
      <c r="D39" s="22" t="s">
        <v>209</v>
      </c>
      <c r="E39" s="22" t="s">
        <v>210</v>
      </c>
      <c r="F39" s="22" t="s">
        <v>211</v>
      </c>
      <c r="G39" s="22" t="s">
        <v>212</v>
      </c>
      <c r="H39" s="22" t="s">
        <v>213</v>
      </c>
      <c r="I39" s="22" t="s">
        <v>214</v>
      </c>
      <c r="J39" s="22" t="s">
        <v>215</v>
      </c>
    </row>
    <row r="40" spans="2:10">
      <c r="B40" s="22"/>
      <c r="C40" s="25">
        <v>2</v>
      </c>
      <c r="D40" s="22" t="s">
        <v>216</v>
      </c>
      <c r="E40" s="22" t="s">
        <v>217</v>
      </c>
      <c r="F40" s="22" t="s">
        <v>218</v>
      </c>
      <c r="G40" s="22" t="s">
        <v>219</v>
      </c>
      <c r="H40" s="22" t="s">
        <v>220</v>
      </c>
      <c r="I40" s="22" t="s">
        <v>221</v>
      </c>
      <c r="J40" s="22" t="s">
        <v>222</v>
      </c>
    </row>
    <row r="41" ht="15" spans="2:10">
      <c r="B41" s="22"/>
      <c r="C41" s="26">
        <v>3</v>
      </c>
      <c r="D41" s="23" t="s">
        <v>223</v>
      </c>
      <c r="E41" s="23" t="s">
        <v>224</v>
      </c>
      <c r="F41" s="23" t="s">
        <v>225</v>
      </c>
      <c r="G41" s="23" t="s">
        <v>226</v>
      </c>
      <c r="H41" s="23" t="s">
        <v>227</v>
      </c>
      <c r="I41" s="23" t="s">
        <v>228</v>
      </c>
      <c r="J41" s="23" t="s">
        <v>229</v>
      </c>
    </row>
    <row r="42" ht="15"/>
    <row r="44" spans="2:2">
      <c r="B44" s="19" t="s">
        <v>230</v>
      </c>
    </row>
    <row r="45" ht="15"/>
    <row r="46" ht="15.75" spans="3:11">
      <c r="C46" s="20" t="s">
        <v>17</v>
      </c>
      <c r="D46" s="20"/>
      <c r="E46" s="20" t="s">
        <v>128</v>
      </c>
      <c r="F46" s="20" t="s">
        <v>129</v>
      </c>
      <c r="G46" s="20" t="s">
        <v>130</v>
      </c>
      <c r="H46" s="20" t="s">
        <v>131</v>
      </c>
      <c r="I46" s="20" t="s">
        <v>132</v>
      </c>
      <c r="J46" s="20" t="s">
        <v>133</v>
      </c>
      <c r="K46" s="20" t="s">
        <v>134</v>
      </c>
    </row>
    <row r="47" spans="3:11">
      <c r="C47" s="27" t="s">
        <v>36</v>
      </c>
      <c r="D47" s="27" t="s">
        <v>231</v>
      </c>
      <c r="E47" s="22">
        <v>1.29</v>
      </c>
      <c r="F47" s="22">
        <v>-12.12</v>
      </c>
      <c r="G47" s="22">
        <v>-0.3</v>
      </c>
      <c r="H47" s="22">
        <v>1.94</v>
      </c>
      <c r="I47" s="22">
        <v>19.05</v>
      </c>
      <c r="J47" s="22">
        <v>4.73</v>
      </c>
      <c r="K47" s="22">
        <v>24.83</v>
      </c>
    </row>
    <row r="48" spans="3:11">
      <c r="C48" s="22"/>
      <c r="D48" s="27" t="s">
        <v>232</v>
      </c>
      <c r="E48" s="22">
        <v>1.24</v>
      </c>
      <c r="F48" s="22">
        <v>-7.5</v>
      </c>
      <c r="G48" s="22">
        <v>-0.2</v>
      </c>
      <c r="H48" s="22">
        <v>1.57</v>
      </c>
      <c r="I48" s="22">
        <v>13.86</v>
      </c>
      <c r="J48" s="22">
        <v>3.54</v>
      </c>
      <c r="K48" s="22">
        <v>13.14</v>
      </c>
    </row>
    <row r="49" spans="3:11">
      <c r="C49" s="22"/>
      <c r="D49" s="27" t="s">
        <v>233</v>
      </c>
      <c r="E49" s="22">
        <v>1.9</v>
      </c>
      <c r="F49" s="22">
        <v>-9.08</v>
      </c>
      <c r="G49" s="22">
        <v>-0.47</v>
      </c>
      <c r="H49" s="22">
        <v>3.35</v>
      </c>
      <c r="I49" s="22">
        <v>20.05</v>
      </c>
      <c r="J49" s="22">
        <v>6.19</v>
      </c>
      <c r="K49" s="22">
        <v>23.25</v>
      </c>
    </row>
    <row r="50" spans="3:11">
      <c r="C50" s="27" t="s">
        <v>37</v>
      </c>
      <c r="D50" s="27" t="s">
        <v>234</v>
      </c>
      <c r="E50" s="22">
        <v>2.84</v>
      </c>
      <c r="F50" s="22">
        <v>-8.74</v>
      </c>
      <c r="G50" s="22">
        <v>-0.3</v>
      </c>
      <c r="H50" s="22">
        <v>1.63</v>
      </c>
      <c r="I50" s="22">
        <v>16.92</v>
      </c>
      <c r="J50" s="22">
        <v>3.5</v>
      </c>
      <c r="K50" s="22">
        <v>17.99</v>
      </c>
    </row>
    <row r="51" spans="3:11">
      <c r="C51" s="22"/>
      <c r="D51" s="27" t="s">
        <v>235</v>
      </c>
      <c r="E51" s="22">
        <v>2.05</v>
      </c>
      <c r="F51" s="22">
        <v>-8.01</v>
      </c>
      <c r="G51" s="22">
        <v>0.3</v>
      </c>
      <c r="H51" s="22">
        <v>1.56</v>
      </c>
      <c r="I51" s="22">
        <v>15.43</v>
      </c>
      <c r="J51" s="22">
        <v>3.06</v>
      </c>
      <c r="K51" s="22">
        <v>15.51</v>
      </c>
    </row>
    <row r="52" spans="3:11">
      <c r="C52" s="22"/>
      <c r="D52" s="27" t="s">
        <v>236</v>
      </c>
      <c r="E52" s="28">
        <v>2.97</v>
      </c>
      <c r="F52" s="22">
        <v>-12.52</v>
      </c>
      <c r="G52" s="22">
        <v>-0.07</v>
      </c>
      <c r="H52" s="22">
        <v>1.6</v>
      </c>
      <c r="I52" s="22">
        <v>19.43</v>
      </c>
      <c r="J52" s="22">
        <v>3.56</v>
      </c>
      <c r="K52" s="22">
        <v>25.82</v>
      </c>
    </row>
    <row r="53" spans="3:11">
      <c r="C53" s="27" t="s">
        <v>39</v>
      </c>
      <c r="D53" s="27" t="s">
        <v>237</v>
      </c>
      <c r="E53" s="22">
        <v>1.18</v>
      </c>
      <c r="F53" s="22">
        <v>-12.76</v>
      </c>
      <c r="G53" s="22">
        <v>-0.25</v>
      </c>
      <c r="H53" s="22">
        <v>1.75</v>
      </c>
      <c r="I53" s="22">
        <v>19.21</v>
      </c>
      <c r="J53" s="22">
        <v>4.81</v>
      </c>
      <c r="K53" s="22">
        <v>25.87</v>
      </c>
    </row>
    <row r="54" spans="3:11">
      <c r="C54" s="22"/>
      <c r="D54" s="27" t="s">
        <v>238</v>
      </c>
      <c r="E54" s="22">
        <v>0.57</v>
      </c>
      <c r="F54" s="22">
        <v>-8.98</v>
      </c>
      <c r="G54" s="22">
        <v>0.02</v>
      </c>
      <c r="H54" s="22">
        <v>1.61</v>
      </c>
      <c r="I54" s="22">
        <v>14.07</v>
      </c>
      <c r="J54" s="22">
        <v>4.59</v>
      </c>
      <c r="K54" s="22">
        <v>15.19</v>
      </c>
    </row>
    <row r="55" ht="15" spans="3:11">
      <c r="C55" s="23"/>
      <c r="D55" s="29" t="s">
        <v>239</v>
      </c>
      <c r="E55" s="23">
        <v>1.11</v>
      </c>
      <c r="F55" s="23">
        <v>-12.61</v>
      </c>
      <c r="G55" s="23">
        <v>-0.13</v>
      </c>
      <c r="H55" s="23">
        <v>1.7</v>
      </c>
      <c r="I55" s="23">
        <v>19.11</v>
      </c>
      <c r="J55" s="23">
        <v>4.73</v>
      </c>
      <c r="K55" s="23">
        <v>25.74</v>
      </c>
    </row>
    <row r="56" ht="15.75"/>
    <row r="57" spans="3:12">
      <c r="C57" s="24" t="s">
        <v>145</v>
      </c>
      <c r="D57" s="27" t="s">
        <v>231</v>
      </c>
      <c r="E57" s="27" t="s">
        <v>232</v>
      </c>
      <c r="F57" s="27" t="s">
        <v>233</v>
      </c>
      <c r="G57" s="27" t="s">
        <v>234</v>
      </c>
      <c r="H57" s="27" t="s">
        <v>235</v>
      </c>
      <c r="I57" s="27" t="s">
        <v>236</v>
      </c>
      <c r="J57" s="27" t="s">
        <v>237</v>
      </c>
      <c r="K57" s="27" t="s">
        <v>238</v>
      </c>
      <c r="L57" s="27" t="s">
        <v>239</v>
      </c>
    </row>
    <row r="58" spans="2:12">
      <c r="B58" s="27" t="s">
        <v>128</v>
      </c>
      <c r="C58" s="22">
        <v>0</v>
      </c>
      <c r="D58" s="22">
        <v>1.29</v>
      </c>
      <c r="E58" s="22">
        <v>1.24</v>
      </c>
      <c r="F58" s="22">
        <v>1.9</v>
      </c>
      <c r="G58" s="22">
        <v>2.84</v>
      </c>
      <c r="H58" s="22">
        <v>2.05</v>
      </c>
      <c r="I58" s="28">
        <v>2.97</v>
      </c>
      <c r="J58" s="22">
        <v>1.18</v>
      </c>
      <c r="K58" s="22">
        <v>0.57</v>
      </c>
      <c r="L58" s="22">
        <v>1.11</v>
      </c>
    </row>
    <row r="59" spans="2:12">
      <c r="B59" s="27" t="s">
        <v>129</v>
      </c>
      <c r="C59" s="22">
        <v>0</v>
      </c>
      <c r="D59" s="22">
        <v>-12.12</v>
      </c>
      <c r="E59" s="22">
        <v>-7.5</v>
      </c>
      <c r="F59" s="22">
        <v>-9.08</v>
      </c>
      <c r="G59" s="22">
        <v>-8.74</v>
      </c>
      <c r="H59" s="22">
        <v>-8.01</v>
      </c>
      <c r="I59" s="22">
        <v>-12.52</v>
      </c>
      <c r="J59" s="22">
        <v>-12.76</v>
      </c>
      <c r="K59" s="22">
        <v>-8.98</v>
      </c>
      <c r="L59" s="22">
        <v>-12.61</v>
      </c>
    </row>
    <row r="60" spans="2:12">
      <c r="B60" s="27" t="s">
        <v>130</v>
      </c>
      <c r="C60" s="22">
        <v>0</v>
      </c>
      <c r="D60" s="22">
        <v>-0.3</v>
      </c>
      <c r="E60" s="22">
        <v>-0.2</v>
      </c>
      <c r="F60" s="22">
        <v>-0.47</v>
      </c>
      <c r="G60" s="22">
        <v>-0.3</v>
      </c>
      <c r="H60" s="22">
        <v>0.3</v>
      </c>
      <c r="I60" s="22">
        <v>-0.07</v>
      </c>
      <c r="J60" s="22">
        <v>-0.25</v>
      </c>
      <c r="K60" s="22">
        <v>0.02</v>
      </c>
      <c r="L60" s="22">
        <v>-0.13</v>
      </c>
    </row>
    <row r="61" spans="2:12">
      <c r="B61" s="27" t="s">
        <v>131</v>
      </c>
      <c r="C61" s="22">
        <v>0</v>
      </c>
      <c r="D61" s="22">
        <v>1.94</v>
      </c>
      <c r="E61" s="22">
        <v>1.57</v>
      </c>
      <c r="F61" s="22">
        <v>3.35</v>
      </c>
      <c r="G61" s="22">
        <v>1.63</v>
      </c>
      <c r="H61" s="22">
        <v>1.56</v>
      </c>
      <c r="I61" s="22">
        <v>1.6</v>
      </c>
      <c r="J61" s="22">
        <v>1.75</v>
      </c>
      <c r="K61" s="22">
        <v>1.61</v>
      </c>
      <c r="L61" s="22">
        <v>1.7</v>
      </c>
    </row>
    <row r="62" spans="2:12">
      <c r="B62" s="27" t="s">
        <v>132</v>
      </c>
      <c r="C62" s="22">
        <v>0</v>
      </c>
      <c r="D62" s="22">
        <v>19.05</v>
      </c>
      <c r="E62" s="22">
        <v>13.86</v>
      </c>
      <c r="F62" s="22">
        <v>20.05</v>
      </c>
      <c r="G62" s="22">
        <v>16.92</v>
      </c>
      <c r="H62" s="22">
        <v>15.43</v>
      </c>
      <c r="I62" s="22">
        <v>19.43</v>
      </c>
      <c r="J62" s="22">
        <v>19.21</v>
      </c>
      <c r="K62" s="22">
        <v>14.07</v>
      </c>
      <c r="L62" s="22">
        <v>19.11</v>
      </c>
    </row>
    <row r="63" spans="2:12">
      <c r="B63" s="27" t="s">
        <v>133</v>
      </c>
      <c r="C63" s="22">
        <v>0</v>
      </c>
      <c r="D63" s="22">
        <v>4.73</v>
      </c>
      <c r="E63" s="22">
        <v>3.54</v>
      </c>
      <c r="F63" s="22">
        <v>6.19</v>
      </c>
      <c r="G63" s="22">
        <v>3.5</v>
      </c>
      <c r="H63" s="22">
        <v>3.06</v>
      </c>
      <c r="I63" s="22">
        <v>3.56</v>
      </c>
      <c r="J63" s="22">
        <v>4.81</v>
      </c>
      <c r="K63" s="22">
        <v>4.59</v>
      </c>
      <c r="L63" s="22">
        <v>4.73</v>
      </c>
    </row>
    <row r="64" spans="2:12">
      <c r="B64" s="27" t="s">
        <v>134</v>
      </c>
      <c r="C64" s="22">
        <v>-6</v>
      </c>
      <c r="D64" s="22">
        <v>24.83</v>
      </c>
      <c r="E64" s="22">
        <v>13.14</v>
      </c>
      <c r="F64" s="22">
        <v>23.25</v>
      </c>
      <c r="G64" s="22">
        <v>17.99</v>
      </c>
      <c r="H64" s="22">
        <v>15.51</v>
      </c>
      <c r="I64" s="22">
        <v>25.82</v>
      </c>
      <c r="J64" s="22">
        <v>25.87</v>
      </c>
      <c r="K64" s="22">
        <v>15.19</v>
      </c>
      <c r="L64" s="22">
        <v>25.74</v>
      </c>
    </row>
    <row r="66" spans="2:10">
      <c r="B66" s="30" t="s">
        <v>240</v>
      </c>
      <c r="C66" s="27" t="s">
        <v>241</v>
      </c>
      <c r="D66" s="27" t="s">
        <v>128</v>
      </c>
      <c r="E66" s="27" t="s">
        <v>129</v>
      </c>
      <c r="F66" s="27" t="s">
        <v>130</v>
      </c>
      <c r="G66" s="27" t="s">
        <v>131</v>
      </c>
      <c r="H66" s="27" t="s">
        <v>132</v>
      </c>
      <c r="I66" s="27" t="s">
        <v>133</v>
      </c>
      <c r="J66" s="27" t="s">
        <v>134</v>
      </c>
    </row>
    <row r="67" spans="2:10">
      <c r="B67" s="30">
        <v>1</v>
      </c>
      <c r="C67" s="27" t="s">
        <v>231</v>
      </c>
      <c r="D67" s="22">
        <v>1.29</v>
      </c>
      <c r="E67" s="22">
        <v>-12.12</v>
      </c>
      <c r="F67" s="22">
        <v>-0.3</v>
      </c>
      <c r="G67" s="22">
        <v>1.94</v>
      </c>
      <c r="H67" s="22">
        <v>19.05</v>
      </c>
      <c r="I67" s="22">
        <v>4.73</v>
      </c>
      <c r="J67" s="22">
        <v>24.83</v>
      </c>
    </row>
    <row r="68" spans="2:10">
      <c r="B68" s="30">
        <v>2</v>
      </c>
      <c r="C68" s="27" t="s">
        <v>232</v>
      </c>
      <c r="D68" s="22">
        <v>1.24</v>
      </c>
      <c r="E68" s="22">
        <v>-7.5</v>
      </c>
      <c r="F68" s="22">
        <v>-0.2</v>
      </c>
      <c r="G68" s="22">
        <v>1.57</v>
      </c>
      <c r="H68" s="22">
        <v>13.86</v>
      </c>
      <c r="I68" s="22">
        <v>3.54</v>
      </c>
      <c r="J68" s="22">
        <v>13.14</v>
      </c>
    </row>
    <row r="69" spans="2:10">
      <c r="B69" s="30">
        <v>3</v>
      </c>
      <c r="C69" s="27" t="s">
        <v>233</v>
      </c>
      <c r="D69" s="22">
        <v>1.9</v>
      </c>
      <c r="E69" s="22">
        <v>-9.08</v>
      </c>
      <c r="F69" s="22">
        <v>-0.47</v>
      </c>
      <c r="G69" s="22">
        <v>3.35</v>
      </c>
      <c r="H69" s="22">
        <v>20.05</v>
      </c>
      <c r="I69" s="22">
        <v>6.19</v>
      </c>
      <c r="J69" s="22">
        <v>23.25</v>
      </c>
    </row>
    <row r="70" spans="2:10">
      <c r="B70" s="30">
        <v>4</v>
      </c>
      <c r="C70" s="27" t="s">
        <v>234</v>
      </c>
      <c r="D70" s="22">
        <v>2.84</v>
      </c>
      <c r="E70" s="22">
        <v>-8.74</v>
      </c>
      <c r="F70" s="22">
        <v>-0.3</v>
      </c>
      <c r="G70" s="22">
        <v>1.63</v>
      </c>
      <c r="H70" s="22">
        <v>16.92</v>
      </c>
      <c r="I70" s="22">
        <v>3.5</v>
      </c>
      <c r="J70" s="22">
        <v>17.99</v>
      </c>
    </row>
    <row r="71" spans="2:10">
      <c r="B71" s="30">
        <v>5</v>
      </c>
      <c r="C71" s="27" t="s">
        <v>235</v>
      </c>
      <c r="D71" s="22">
        <v>2.05</v>
      </c>
      <c r="E71" s="22">
        <v>-8.01</v>
      </c>
      <c r="F71" s="22">
        <v>0.3</v>
      </c>
      <c r="G71" s="22">
        <v>1.56</v>
      </c>
      <c r="H71" s="22">
        <v>15.43</v>
      </c>
      <c r="I71" s="22">
        <v>3.06</v>
      </c>
      <c r="J71" s="22">
        <v>15.51</v>
      </c>
    </row>
    <row r="72" spans="2:10">
      <c r="B72" s="30">
        <v>6</v>
      </c>
      <c r="C72" s="27" t="s">
        <v>236</v>
      </c>
      <c r="D72" s="28">
        <v>2.97</v>
      </c>
      <c r="E72" s="22">
        <v>-12.52</v>
      </c>
      <c r="F72" s="22">
        <v>-0.07</v>
      </c>
      <c r="G72" s="22">
        <v>1.6</v>
      </c>
      <c r="H72" s="22">
        <v>19.43</v>
      </c>
      <c r="I72" s="22">
        <v>3.56</v>
      </c>
      <c r="J72" s="22">
        <v>25.82</v>
      </c>
    </row>
    <row r="73" spans="2:10">
      <c r="B73" s="30">
        <v>7</v>
      </c>
      <c r="C73" s="27" t="s">
        <v>237</v>
      </c>
      <c r="D73" s="22">
        <v>1.18</v>
      </c>
      <c r="E73" s="22">
        <v>-12.76</v>
      </c>
      <c r="F73" s="22">
        <v>-0.25</v>
      </c>
      <c r="G73" s="22">
        <v>1.75</v>
      </c>
      <c r="H73" s="22">
        <v>19.21</v>
      </c>
      <c r="I73" s="22">
        <v>4.81</v>
      </c>
      <c r="J73" s="22">
        <v>25.87</v>
      </c>
    </row>
    <row r="74" spans="2:10">
      <c r="B74" s="30">
        <v>8</v>
      </c>
      <c r="C74" s="27" t="s">
        <v>238</v>
      </c>
      <c r="D74" s="22">
        <v>0.57</v>
      </c>
      <c r="E74" s="22">
        <v>-8.98</v>
      </c>
      <c r="F74" s="22">
        <v>0.02</v>
      </c>
      <c r="G74" s="22">
        <v>1.61</v>
      </c>
      <c r="H74" s="22">
        <v>14.07</v>
      </c>
      <c r="I74" s="22">
        <v>4.59</v>
      </c>
      <c r="J74" s="22">
        <v>15.19</v>
      </c>
    </row>
    <row r="75" spans="2:10">
      <c r="B75" s="30">
        <v>9</v>
      </c>
      <c r="C75" s="27" t="s">
        <v>239</v>
      </c>
      <c r="D75" s="22">
        <v>1.11</v>
      </c>
      <c r="E75" s="22">
        <v>-12.61</v>
      </c>
      <c r="F75" s="22">
        <v>-0.13</v>
      </c>
      <c r="G75" s="22">
        <v>1.7</v>
      </c>
      <c r="H75" s="22">
        <v>19.11</v>
      </c>
      <c r="I75" s="22">
        <v>4.73</v>
      </c>
      <c r="J75" s="22">
        <v>25.74</v>
      </c>
    </row>
    <row r="77" spans="2:15">
      <c r="B77" s="31" t="s">
        <v>240</v>
      </c>
      <c r="C77" s="22" t="s">
        <v>241</v>
      </c>
      <c r="D77" s="22" t="s">
        <v>242</v>
      </c>
      <c r="E77" s="22" t="s">
        <v>243</v>
      </c>
      <c r="F77" s="22" t="s">
        <v>244</v>
      </c>
      <c r="G77" s="22" t="s">
        <v>245</v>
      </c>
      <c r="H77" s="22" t="s">
        <v>246</v>
      </c>
      <c r="I77" s="22" t="s">
        <v>247</v>
      </c>
      <c r="J77" s="22" t="s">
        <v>248</v>
      </c>
      <c r="N77" t="s">
        <v>249</v>
      </c>
      <c r="O77" t="s">
        <v>250</v>
      </c>
    </row>
    <row r="78" spans="2:15">
      <c r="B78" s="22" t="s">
        <v>251</v>
      </c>
      <c r="C78" s="31">
        <v>1</v>
      </c>
      <c r="D78" s="22">
        <v>1.43</v>
      </c>
      <c r="E78" s="22">
        <v>-11.73</v>
      </c>
      <c r="F78" s="22">
        <v>-0.31</v>
      </c>
      <c r="G78" s="22">
        <v>2.2</v>
      </c>
      <c r="H78" s="22">
        <v>19.41</v>
      </c>
      <c r="I78" s="22">
        <v>5.31</v>
      </c>
      <c r="J78" s="22">
        <v>24.95</v>
      </c>
      <c r="M78" t="s">
        <v>128</v>
      </c>
      <c r="N78">
        <v>-0.02104</v>
      </c>
      <c r="O78">
        <v>0.48435</v>
      </c>
    </row>
    <row r="79" spans="2:15">
      <c r="B79" s="22" t="s">
        <v>251</v>
      </c>
      <c r="C79" s="31">
        <v>2</v>
      </c>
      <c r="D79" s="22">
        <v>1.26</v>
      </c>
      <c r="E79" s="22">
        <v>-12.3</v>
      </c>
      <c r="F79" s="22">
        <v>-0.32</v>
      </c>
      <c r="G79" s="22">
        <v>1.93</v>
      </c>
      <c r="H79" s="22">
        <v>18.9</v>
      </c>
      <c r="I79" s="22">
        <v>4.81</v>
      </c>
      <c r="J79" s="22">
        <v>25.05</v>
      </c>
      <c r="M79" t="s">
        <v>129</v>
      </c>
      <c r="N79">
        <v>-0.35784</v>
      </c>
      <c r="O79">
        <v>0.46727</v>
      </c>
    </row>
    <row r="80" spans="2:15">
      <c r="B80" s="22" t="s">
        <v>251</v>
      </c>
      <c r="C80" s="31">
        <v>3</v>
      </c>
      <c r="D80" s="22">
        <v>1.22</v>
      </c>
      <c r="E80" s="22">
        <v>-12.44</v>
      </c>
      <c r="F80" s="22">
        <v>-0.31</v>
      </c>
      <c r="G80" s="22">
        <v>1.71</v>
      </c>
      <c r="H80" s="22">
        <v>18.5</v>
      </c>
      <c r="I80" s="22">
        <v>4.35</v>
      </c>
      <c r="J80" s="22">
        <v>24.92</v>
      </c>
      <c r="M80" t="s">
        <v>130</v>
      </c>
      <c r="N80">
        <v>-0.20808</v>
      </c>
      <c r="O80">
        <v>-0.52426</v>
      </c>
    </row>
    <row r="81" spans="2:15">
      <c r="B81" s="22" t="s">
        <v>252</v>
      </c>
      <c r="C81" s="31">
        <v>1</v>
      </c>
      <c r="D81" s="22">
        <v>1.41</v>
      </c>
      <c r="E81" s="22">
        <v>-6.94</v>
      </c>
      <c r="F81" s="22">
        <v>-0.21</v>
      </c>
      <c r="G81" s="22">
        <v>1.78</v>
      </c>
      <c r="H81" s="22">
        <v>14.11</v>
      </c>
      <c r="I81" s="22">
        <v>3.99</v>
      </c>
      <c r="J81" s="22">
        <v>12.85</v>
      </c>
      <c r="M81" t="s">
        <v>131</v>
      </c>
      <c r="N81">
        <v>0.37633</v>
      </c>
      <c r="O81">
        <v>0.37526</v>
      </c>
    </row>
    <row r="82" spans="2:15">
      <c r="B82" s="22" t="s">
        <v>252</v>
      </c>
      <c r="C82" s="31">
        <v>2</v>
      </c>
      <c r="D82" s="22">
        <v>1.24</v>
      </c>
      <c r="E82" s="22">
        <v>-7.51</v>
      </c>
      <c r="F82" s="22">
        <v>-0.2</v>
      </c>
      <c r="G82" s="22">
        <v>1.57</v>
      </c>
      <c r="H82" s="22">
        <v>13.77</v>
      </c>
      <c r="I82" s="22">
        <v>3.6</v>
      </c>
      <c r="J82" s="22">
        <v>13.22</v>
      </c>
      <c r="M82" t="s">
        <v>132</v>
      </c>
      <c r="N82">
        <v>0.52792</v>
      </c>
      <c r="O82">
        <v>-0.07518</v>
      </c>
    </row>
    <row r="83" spans="2:15">
      <c r="B83" s="22" t="s">
        <v>252</v>
      </c>
      <c r="C83" s="31">
        <v>3</v>
      </c>
      <c r="D83" s="22">
        <v>1.13</v>
      </c>
      <c r="E83" s="22">
        <v>-7.88</v>
      </c>
      <c r="F83" s="22">
        <v>-0.21</v>
      </c>
      <c r="G83" s="22">
        <v>1.41</v>
      </c>
      <c r="H83" s="22">
        <v>13.53</v>
      </c>
      <c r="I83" s="22">
        <v>3.27</v>
      </c>
      <c r="J83" s="22">
        <v>13.4</v>
      </c>
      <c r="M83" t="s">
        <v>133</v>
      </c>
      <c r="N83">
        <v>0.40834</v>
      </c>
      <c r="O83">
        <v>0.23644</v>
      </c>
    </row>
    <row r="84" spans="2:15">
      <c r="B84" s="22" t="s">
        <v>253</v>
      </c>
      <c r="C84" s="31">
        <v>1</v>
      </c>
      <c r="D84" s="22">
        <v>1.9</v>
      </c>
      <c r="E84" s="22">
        <v>-8.87</v>
      </c>
      <c r="F84" s="22">
        <v>-0.42</v>
      </c>
      <c r="G84" s="22">
        <v>3.83</v>
      </c>
      <c r="H84" s="22">
        <v>20.3</v>
      </c>
      <c r="I84" s="22">
        <v>6.33</v>
      </c>
      <c r="J84" s="22">
        <v>23.45</v>
      </c>
      <c r="M84" t="s">
        <v>134</v>
      </c>
      <c r="N84">
        <v>0.49107</v>
      </c>
      <c r="O84">
        <v>-0.26426</v>
      </c>
    </row>
    <row r="85" spans="2:15">
      <c r="B85" s="22" t="s">
        <v>253</v>
      </c>
      <c r="C85" s="31">
        <v>2</v>
      </c>
      <c r="D85" s="22">
        <v>1.95</v>
      </c>
      <c r="E85" s="22">
        <v>-9.08</v>
      </c>
      <c r="F85" s="22">
        <v>-0.48</v>
      </c>
      <c r="G85" s="22">
        <v>3.24</v>
      </c>
      <c r="H85" s="22">
        <v>20.06</v>
      </c>
      <c r="I85" s="22">
        <v>6.24</v>
      </c>
      <c r="J85" s="22">
        <v>23.18</v>
      </c>
      <c r="M85" s="30" t="s">
        <v>254</v>
      </c>
      <c r="N85">
        <v>3.15761</v>
      </c>
      <c r="O85">
        <v>2.52485</v>
      </c>
    </row>
    <row r="86" spans="2:15">
      <c r="B86" s="22" t="s">
        <v>253</v>
      </c>
      <c r="C86" s="31">
        <v>3</v>
      </c>
      <c r="D86" s="22">
        <v>1.84</v>
      </c>
      <c r="E86" s="22">
        <v>-9.29</v>
      </c>
      <c r="F86" s="22">
        <v>-0.5</v>
      </c>
      <c r="G86" s="22">
        <v>2.97</v>
      </c>
      <c r="H86" s="22">
        <v>19.79</v>
      </c>
      <c r="I86" s="22">
        <v>6.01</v>
      </c>
      <c r="J86" s="22">
        <v>23.12</v>
      </c>
      <c r="M86" s="30" t="s">
        <v>255</v>
      </c>
      <c r="N86">
        <v>45.10868</v>
      </c>
      <c r="O86">
        <v>36.06926</v>
      </c>
    </row>
    <row r="87" spans="2:10">
      <c r="B87" s="22" t="s">
        <v>256</v>
      </c>
      <c r="C87" s="31">
        <v>1</v>
      </c>
      <c r="D87" s="31">
        <v>2.98</v>
      </c>
      <c r="E87" s="31">
        <v>-7.22</v>
      </c>
      <c r="F87" s="31">
        <v>-0.32</v>
      </c>
      <c r="G87" s="31">
        <v>1.83</v>
      </c>
      <c r="H87" s="31">
        <v>17.21</v>
      </c>
      <c r="I87" s="31">
        <v>4.01</v>
      </c>
      <c r="J87" s="31">
        <v>17.93</v>
      </c>
    </row>
    <row r="88" spans="2:10">
      <c r="B88" s="22" t="s">
        <v>256</v>
      </c>
      <c r="C88" s="31">
        <v>2</v>
      </c>
      <c r="D88" s="31">
        <v>2.86</v>
      </c>
      <c r="E88" s="31">
        <v>-7.7</v>
      </c>
      <c r="F88" s="31">
        <v>-0.32</v>
      </c>
      <c r="G88" s="31">
        <v>1.64</v>
      </c>
      <c r="H88" s="31">
        <v>16.81</v>
      </c>
      <c r="I88" s="31">
        <v>3.62</v>
      </c>
      <c r="J88" s="31">
        <v>18.06</v>
      </c>
    </row>
    <row r="89" spans="2:10">
      <c r="B89" s="22" t="s">
        <v>256</v>
      </c>
      <c r="C89" s="31">
        <v>3</v>
      </c>
      <c r="D89" s="31">
        <v>2.74</v>
      </c>
      <c r="E89" s="31">
        <v>-8.15</v>
      </c>
      <c r="F89" s="31">
        <v>-0.31</v>
      </c>
      <c r="G89" s="31">
        <v>1.48</v>
      </c>
      <c r="H89" s="31">
        <v>16.51</v>
      </c>
      <c r="I89" s="31">
        <v>3.26</v>
      </c>
      <c r="J89" s="31">
        <v>18.21</v>
      </c>
    </row>
    <row r="90" spans="2:10">
      <c r="B90" s="22" t="s">
        <v>257</v>
      </c>
      <c r="C90" s="31">
        <v>1</v>
      </c>
      <c r="D90" s="31">
        <v>2.19</v>
      </c>
      <c r="E90" s="31">
        <v>-7.52</v>
      </c>
      <c r="F90" s="31">
        <v>-0.31</v>
      </c>
      <c r="G90" s="31">
        <v>1.74</v>
      </c>
      <c r="H90" s="31">
        <v>15.73</v>
      </c>
      <c r="I90" s="31">
        <v>4</v>
      </c>
      <c r="J90" s="31">
        <v>15.36</v>
      </c>
    </row>
    <row r="91" spans="2:10">
      <c r="B91" s="22" t="s">
        <v>257</v>
      </c>
      <c r="C91" s="31">
        <v>2</v>
      </c>
      <c r="D91" s="31">
        <v>2.06</v>
      </c>
      <c r="E91" s="31">
        <v>-8.02</v>
      </c>
      <c r="F91" s="31">
        <v>-0.31</v>
      </c>
      <c r="G91" s="31">
        <v>1.58</v>
      </c>
      <c r="H91" s="31">
        <v>15.35</v>
      </c>
      <c r="I91" s="31">
        <v>3.6</v>
      </c>
      <c r="J91" s="31">
        <v>15.59</v>
      </c>
    </row>
    <row r="92" spans="2:10">
      <c r="B92" s="22" t="s">
        <v>257</v>
      </c>
      <c r="C92" s="31">
        <v>3</v>
      </c>
      <c r="D92" s="31">
        <v>1.96</v>
      </c>
      <c r="E92" s="31">
        <v>-8.42</v>
      </c>
      <c r="F92" s="31">
        <v>-0.3</v>
      </c>
      <c r="G92" s="31">
        <v>1.41</v>
      </c>
      <c r="H92" s="31">
        <v>15.08</v>
      </c>
      <c r="I92" s="31">
        <v>3.25</v>
      </c>
      <c r="J92" s="31">
        <v>15.79</v>
      </c>
    </row>
    <row r="93" spans="2:10">
      <c r="B93" s="22" t="s">
        <v>258</v>
      </c>
      <c r="C93" s="31">
        <v>1</v>
      </c>
      <c r="D93" s="31">
        <v>1.06</v>
      </c>
      <c r="E93" s="31">
        <v>-12.24</v>
      </c>
      <c r="F93" s="31">
        <v>0.03</v>
      </c>
      <c r="G93" s="31">
        <v>1.71</v>
      </c>
      <c r="H93" s="31">
        <v>19.81</v>
      </c>
      <c r="I93" s="31">
        <v>3.47</v>
      </c>
      <c r="J93" s="31">
        <v>26.15</v>
      </c>
    </row>
    <row r="94" spans="2:10">
      <c r="B94" s="22" t="s">
        <v>258</v>
      </c>
      <c r="C94" s="31">
        <v>2</v>
      </c>
      <c r="D94" s="31">
        <v>0.95</v>
      </c>
      <c r="E94" s="31">
        <v>-12.75</v>
      </c>
      <c r="F94" s="31">
        <v>0.03</v>
      </c>
      <c r="G94" s="31">
        <v>1.51</v>
      </c>
      <c r="H94" s="31">
        <v>19.42</v>
      </c>
      <c r="I94" s="31">
        <v>3.08</v>
      </c>
      <c r="J94" s="31">
        <v>26.31</v>
      </c>
    </row>
    <row r="95" spans="2:10">
      <c r="B95" s="22" t="s">
        <v>258</v>
      </c>
      <c r="C95" s="31">
        <v>3</v>
      </c>
      <c r="D95" s="31">
        <v>0.99</v>
      </c>
      <c r="E95" s="31">
        <v>-12.86</v>
      </c>
      <c r="F95" s="31">
        <v>0.05</v>
      </c>
      <c r="G95" s="31">
        <v>1.35</v>
      </c>
      <c r="H95" s="31">
        <v>19.17</v>
      </c>
      <c r="I95" s="31">
        <v>2.81</v>
      </c>
      <c r="J95" s="31">
        <v>26.01</v>
      </c>
    </row>
    <row r="96" spans="2:10">
      <c r="B96" s="22" t="s">
        <v>259</v>
      </c>
      <c r="C96" s="31">
        <v>1</v>
      </c>
      <c r="D96" s="31">
        <v>1.22</v>
      </c>
      <c r="E96" s="31">
        <v>-12.6</v>
      </c>
      <c r="F96" s="31">
        <v>-0.28</v>
      </c>
      <c r="G96" s="31">
        <v>2</v>
      </c>
      <c r="H96" s="31">
        <v>19.55</v>
      </c>
      <c r="I96" s="31">
        <v>5.39</v>
      </c>
      <c r="J96" s="31">
        <v>26.19</v>
      </c>
    </row>
    <row r="97" spans="2:10">
      <c r="B97" s="22" t="s">
        <v>259</v>
      </c>
      <c r="C97" s="31">
        <v>2</v>
      </c>
      <c r="D97" s="31">
        <v>1.15</v>
      </c>
      <c r="E97" s="31">
        <v>-12.92</v>
      </c>
      <c r="F97" s="31">
        <v>-0.26</v>
      </c>
      <c r="G97" s="31">
        <v>1.78</v>
      </c>
      <c r="H97" s="31">
        <v>19.1</v>
      </c>
      <c r="I97" s="31">
        <v>4.86</v>
      </c>
      <c r="J97" s="31">
        <v>26.12</v>
      </c>
    </row>
    <row r="98" spans="2:10">
      <c r="B98" s="22" t="s">
        <v>259</v>
      </c>
      <c r="C98" s="31">
        <v>3</v>
      </c>
      <c r="D98" s="31">
        <v>1.17</v>
      </c>
      <c r="E98" s="31">
        <v>-13.03</v>
      </c>
      <c r="F98" s="31">
        <v>-0.24</v>
      </c>
      <c r="G98" s="31">
        <v>1.58</v>
      </c>
      <c r="H98" s="31">
        <v>18.78</v>
      </c>
      <c r="I98" s="31">
        <v>4.46</v>
      </c>
      <c r="J98" s="31">
        <v>25.86</v>
      </c>
    </row>
    <row r="99" spans="2:10">
      <c r="B99" s="22" t="s">
        <v>260</v>
      </c>
      <c r="C99" s="31">
        <v>1</v>
      </c>
      <c r="D99" s="31">
        <v>0.6</v>
      </c>
      <c r="E99" s="31">
        <v>-8.8</v>
      </c>
      <c r="F99" s="31">
        <v>0.02</v>
      </c>
      <c r="G99" s="31">
        <v>1.78</v>
      </c>
      <c r="H99" s="31">
        <v>14.24</v>
      </c>
      <c r="I99" s="31">
        <v>4.93</v>
      </c>
      <c r="J99" s="31">
        <v>15.26</v>
      </c>
    </row>
    <row r="100" spans="2:10">
      <c r="B100" s="22" t="s">
        <v>260</v>
      </c>
      <c r="C100" s="31">
        <v>2</v>
      </c>
      <c r="D100" s="31">
        <v>0.55</v>
      </c>
      <c r="E100" s="31">
        <v>-9.14</v>
      </c>
      <c r="F100" s="31">
        <v>0.01</v>
      </c>
      <c r="G100" s="31">
        <v>1.58</v>
      </c>
      <c r="H100" s="31">
        <v>13.89</v>
      </c>
      <c r="I100" s="31">
        <v>4.44</v>
      </c>
      <c r="J100" s="31">
        <v>15.33</v>
      </c>
    </row>
    <row r="101" spans="2:10">
      <c r="B101" s="22" t="s">
        <v>260</v>
      </c>
      <c r="C101" s="31">
        <v>3</v>
      </c>
      <c r="D101" s="31">
        <v>0.55</v>
      </c>
      <c r="E101" s="31">
        <v>-9.25</v>
      </c>
      <c r="F101" s="31">
        <v>0.03</v>
      </c>
      <c r="G101" s="31">
        <v>1.4</v>
      </c>
      <c r="H101" s="31">
        <v>13.75</v>
      </c>
      <c r="I101" s="31">
        <v>4.15</v>
      </c>
      <c r="J101" s="31">
        <v>15.19</v>
      </c>
    </row>
    <row r="102" spans="2:10">
      <c r="B102" s="22" t="s">
        <v>261</v>
      </c>
      <c r="C102" s="31">
        <v>1</v>
      </c>
      <c r="D102" s="31">
        <v>1.11</v>
      </c>
      <c r="E102" s="31">
        <v>-12.45</v>
      </c>
      <c r="F102" s="31">
        <v>-0.13</v>
      </c>
      <c r="G102" s="31">
        <v>1.89</v>
      </c>
      <c r="H102" s="31">
        <v>19.28</v>
      </c>
      <c r="I102" s="31">
        <v>5.06</v>
      </c>
      <c r="J102" s="31">
        <v>25.9</v>
      </c>
    </row>
    <row r="103" spans="2:10">
      <c r="B103" s="22" t="s">
        <v>261</v>
      </c>
      <c r="C103" s="31">
        <v>2</v>
      </c>
      <c r="D103" s="31">
        <v>1.07</v>
      </c>
      <c r="E103" s="31">
        <v>-12.76</v>
      </c>
      <c r="F103" s="31">
        <v>-0.14</v>
      </c>
      <c r="G103" s="31">
        <v>1.66</v>
      </c>
      <c r="H103" s="31">
        <v>18.92</v>
      </c>
      <c r="I103" s="31">
        <v>4.59</v>
      </c>
      <c r="J103" s="31">
        <v>25.82</v>
      </c>
    </row>
    <row r="104" spans="2:10">
      <c r="B104" s="22" t="s">
        <v>261</v>
      </c>
      <c r="C104" s="31">
        <v>3</v>
      </c>
      <c r="D104" s="31">
        <v>1.08</v>
      </c>
      <c r="E104" s="31">
        <v>-12.87</v>
      </c>
      <c r="F104" s="31">
        <v>-0.12</v>
      </c>
      <c r="G104" s="31">
        <v>1.47</v>
      </c>
      <c r="H104" s="31">
        <v>18.73</v>
      </c>
      <c r="I104" s="31">
        <v>4.26</v>
      </c>
      <c r="J104" s="31">
        <v>25.64</v>
      </c>
    </row>
    <row r="106" ht="15"/>
    <row r="107" ht="15.75" spans="2:15">
      <c r="B107" s="31" t="s">
        <v>240</v>
      </c>
      <c r="C107" s="22" t="s">
        <v>241</v>
      </c>
      <c r="D107" s="22" t="s">
        <v>242</v>
      </c>
      <c r="E107" s="22" t="s">
        <v>243</v>
      </c>
      <c r="F107" s="22" t="s">
        <v>244</v>
      </c>
      <c r="G107" s="22" t="s">
        <v>245</v>
      </c>
      <c r="H107" s="22" t="s">
        <v>246</v>
      </c>
      <c r="I107" s="22" t="s">
        <v>247</v>
      </c>
      <c r="J107" s="22" t="s">
        <v>248</v>
      </c>
      <c r="M107" s="32" t="s">
        <v>262</v>
      </c>
      <c r="N107" s="33" t="s">
        <v>263</v>
      </c>
      <c r="O107" s="33" t="s">
        <v>264</v>
      </c>
    </row>
    <row r="108" spans="2:15">
      <c r="B108" s="22" t="s">
        <v>251</v>
      </c>
      <c r="C108" s="31">
        <v>1</v>
      </c>
      <c r="D108" s="22">
        <v>1.43</v>
      </c>
      <c r="E108" s="22">
        <v>-11.73</v>
      </c>
      <c r="F108" s="22">
        <v>-0.31</v>
      </c>
      <c r="G108" s="22">
        <v>2.2</v>
      </c>
      <c r="H108" s="22">
        <v>19.41</v>
      </c>
      <c r="I108" s="22">
        <v>5.31</v>
      </c>
      <c r="J108" s="22">
        <v>24.95</v>
      </c>
      <c r="M108" s="27" t="s">
        <v>128</v>
      </c>
      <c r="N108" s="22">
        <v>-0.07708</v>
      </c>
      <c r="O108" s="22">
        <v>0.65546</v>
      </c>
    </row>
    <row r="109" spans="2:15">
      <c r="B109" s="22" t="s">
        <v>251</v>
      </c>
      <c r="C109" s="31">
        <v>2</v>
      </c>
      <c r="D109" s="22">
        <v>1.26</v>
      </c>
      <c r="E109" s="22">
        <v>-12.3</v>
      </c>
      <c r="F109" s="22">
        <v>-0.32</v>
      </c>
      <c r="G109" s="22">
        <v>1.93</v>
      </c>
      <c r="H109" s="22">
        <v>18.9</v>
      </c>
      <c r="I109" s="22">
        <v>4.81</v>
      </c>
      <c r="J109" s="22">
        <v>25.05</v>
      </c>
      <c r="M109" s="27" t="s">
        <v>129</v>
      </c>
      <c r="N109" s="22">
        <v>-0.44515</v>
      </c>
      <c r="O109" s="22">
        <v>0.16978</v>
      </c>
    </row>
    <row r="110" spans="2:15">
      <c r="B110" s="22" t="s">
        <v>251</v>
      </c>
      <c r="C110" s="31">
        <v>3</v>
      </c>
      <c r="D110" s="22">
        <v>1.22</v>
      </c>
      <c r="E110" s="22">
        <v>-12.44</v>
      </c>
      <c r="F110" s="22">
        <v>-0.31</v>
      </c>
      <c r="G110" s="22">
        <v>1.71</v>
      </c>
      <c r="H110" s="22">
        <v>18.5</v>
      </c>
      <c r="I110" s="22">
        <v>4.35</v>
      </c>
      <c r="J110" s="22">
        <v>24.92</v>
      </c>
      <c r="M110" s="27" t="s">
        <v>130</v>
      </c>
      <c r="N110" s="22">
        <v>-0.17557</v>
      </c>
      <c r="O110" s="22">
        <v>-0.61984</v>
      </c>
    </row>
    <row r="111" spans="2:15">
      <c r="B111" s="22" t="s">
        <v>252</v>
      </c>
      <c r="C111" s="31">
        <v>1</v>
      </c>
      <c r="D111" s="22">
        <v>1.41</v>
      </c>
      <c r="E111" s="22">
        <v>-6.94</v>
      </c>
      <c r="F111" s="22">
        <v>-0.21</v>
      </c>
      <c r="G111" s="22">
        <v>1.78</v>
      </c>
      <c r="H111" s="22">
        <v>14.11</v>
      </c>
      <c r="I111" s="22">
        <v>3.99</v>
      </c>
      <c r="J111" s="22">
        <v>12.85</v>
      </c>
      <c r="M111" s="27" t="s">
        <v>131</v>
      </c>
      <c r="N111" s="22">
        <v>0.38539</v>
      </c>
      <c r="O111" s="22">
        <v>0.03337</v>
      </c>
    </row>
    <row r="112" spans="2:15">
      <c r="B112" s="22" t="s">
        <v>252</v>
      </c>
      <c r="C112" s="31">
        <v>2</v>
      </c>
      <c r="D112" s="22">
        <v>1.24</v>
      </c>
      <c r="E112" s="22">
        <v>-7.51</v>
      </c>
      <c r="F112" s="22">
        <v>-0.2</v>
      </c>
      <c r="G112" s="22">
        <v>1.57</v>
      </c>
      <c r="H112" s="22">
        <v>13.77</v>
      </c>
      <c r="I112" s="22">
        <v>3.6</v>
      </c>
      <c r="J112" s="22">
        <v>13.22</v>
      </c>
      <c r="M112" s="27" t="s">
        <v>132</v>
      </c>
      <c r="N112" s="22">
        <v>0.4658</v>
      </c>
      <c r="O112" s="22">
        <v>0.22798</v>
      </c>
    </row>
    <row r="113" spans="2:15">
      <c r="B113" s="22" t="s">
        <v>252</v>
      </c>
      <c r="C113" s="31">
        <v>3</v>
      </c>
      <c r="D113" s="22">
        <v>1.13</v>
      </c>
      <c r="E113" s="22">
        <v>-7.88</v>
      </c>
      <c r="F113" s="22">
        <v>-0.21</v>
      </c>
      <c r="G113" s="22">
        <v>1.41</v>
      </c>
      <c r="H113" s="22">
        <v>13.53</v>
      </c>
      <c r="I113" s="22">
        <v>3.27</v>
      </c>
      <c r="J113" s="22">
        <v>13.4</v>
      </c>
      <c r="M113" s="27" t="s">
        <v>133</v>
      </c>
      <c r="N113" s="22">
        <v>0.41342</v>
      </c>
      <c r="O113" s="22">
        <v>-0.31703</v>
      </c>
    </row>
    <row r="114" spans="2:15">
      <c r="B114" s="22" t="s">
        <v>256</v>
      </c>
      <c r="C114" s="31">
        <v>1</v>
      </c>
      <c r="D114" s="31">
        <v>2.98</v>
      </c>
      <c r="E114" s="31">
        <v>-7.22</v>
      </c>
      <c r="F114" s="31">
        <v>-0.32</v>
      </c>
      <c r="G114" s="31">
        <v>1.83</v>
      </c>
      <c r="H114" s="31">
        <v>17.21</v>
      </c>
      <c r="I114" s="31">
        <v>4.01</v>
      </c>
      <c r="J114" s="31">
        <v>17.93</v>
      </c>
      <c r="M114" s="27" t="s">
        <v>134</v>
      </c>
      <c r="N114" s="22">
        <v>0.47818</v>
      </c>
      <c r="O114" s="22">
        <v>0.06124</v>
      </c>
    </row>
    <row r="115" spans="2:15">
      <c r="B115" s="22" t="s">
        <v>256</v>
      </c>
      <c r="C115" s="31">
        <v>2</v>
      </c>
      <c r="D115" s="31">
        <v>2.86</v>
      </c>
      <c r="E115" s="31">
        <v>-7.7</v>
      </c>
      <c r="F115" s="31">
        <v>-0.32</v>
      </c>
      <c r="G115" s="31">
        <v>1.64</v>
      </c>
      <c r="H115" s="31">
        <v>16.81</v>
      </c>
      <c r="I115" s="31">
        <v>3.62</v>
      </c>
      <c r="J115" s="31">
        <v>18.06</v>
      </c>
      <c r="M115" s="27" t="s">
        <v>254</v>
      </c>
      <c r="N115" s="22">
        <v>4.00957</v>
      </c>
      <c r="O115" s="22">
        <v>2.07688</v>
      </c>
    </row>
    <row r="116" ht="15" spans="2:15">
      <c r="B116" s="22" t="s">
        <v>256</v>
      </c>
      <c r="C116" s="31">
        <v>3</v>
      </c>
      <c r="D116" s="31">
        <v>2.74</v>
      </c>
      <c r="E116" s="31">
        <v>-8.15</v>
      </c>
      <c r="F116" s="31">
        <v>-0.31</v>
      </c>
      <c r="G116" s="31">
        <v>1.48</v>
      </c>
      <c r="H116" s="31">
        <v>16.51</v>
      </c>
      <c r="I116" s="31">
        <v>3.26</v>
      </c>
      <c r="J116" s="31">
        <v>18.21</v>
      </c>
      <c r="M116" s="34" t="s">
        <v>265</v>
      </c>
      <c r="N116" s="35">
        <v>57.27958</v>
      </c>
      <c r="O116" s="35">
        <v>29.66974</v>
      </c>
    </row>
    <row r="117" ht="15" spans="2:10">
      <c r="B117" s="22" t="s">
        <v>257</v>
      </c>
      <c r="C117" s="31">
        <v>1</v>
      </c>
      <c r="D117" s="31">
        <v>2.19</v>
      </c>
      <c r="E117" s="31">
        <v>-7.52</v>
      </c>
      <c r="F117" s="31">
        <v>-0.31</v>
      </c>
      <c r="G117" s="31">
        <v>1.74</v>
      </c>
      <c r="H117" s="31">
        <v>15.73</v>
      </c>
      <c r="I117" s="31">
        <v>4</v>
      </c>
      <c r="J117" s="31">
        <v>15.36</v>
      </c>
    </row>
    <row r="118" spans="2:10">
      <c r="B118" s="22" t="s">
        <v>257</v>
      </c>
      <c r="C118" s="31">
        <v>2</v>
      </c>
      <c r="D118" s="31">
        <v>2.06</v>
      </c>
      <c r="E118" s="31">
        <v>-8.02</v>
      </c>
      <c r="F118" s="31">
        <v>-0.31</v>
      </c>
      <c r="G118" s="31">
        <v>1.58</v>
      </c>
      <c r="H118" s="31">
        <v>15.35</v>
      </c>
      <c r="I118" s="31">
        <v>3.6</v>
      </c>
      <c r="J118" s="31">
        <v>15.59</v>
      </c>
    </row>
    <row r="119" spans="2:10">
      <c r="B119" s="22" t="s">
        <v>257</v>
      </c>
      <c r="C119" s="31">
        <v>3</v>
      </c>
      <c r="D119" s="31">
        <v>1.96</v>
      </c>
      <c r="E119" s="31">
        <v>-8.42</v>
      </c>
      <c r="F119" s="31">
        <v>-0.3</v>
      </c>
      <c r="G119" s="31">
        <v>1.41</v>
      </c>
      <c r="H119" s="31">
        <v>15.08</v>
      </c>
      <c r="I119" s="31">
        <v>3.25</v>
      </c>
      <c r="J119" s="31">
        <v>15.79</v>
      </c>
    </row>
    <row r="120" spans="2:10">
      <c r="B120" s="22" t="s">
        <v>259</v>
      </c>
      <c r="C120" s="31">
        <v>1</v>
      </c>
      <c r="D120" s="31">
        <v>1.22</v>
      </c>
      <c r="E120" s="31">
        <v>-12.6</v>
      </c>
      <c r="F120" s="31">
        <v>-0.28</v>
      </c>
      <c r="G120" s="31">
        <v>2</v>
      </c>
      <c r="H120" s="31">
        <v>19.55</v>
      </c>
      <c r="I120" s="31">
        <v>5.39</v>
      </c>
      <c r="J120" s="31">
        <v>26.19</v>
      </c>
    </row>
    <row r="121" spans="2:10">
      <c r="B121" s="22" t="s">
        <v>259</v>
      </c>
      <c r="C121" s="31">
        <v>2</v>
      </c>
      <c r="D121" s="31">
        <v>1.15</v>
      </c>
      <c r="E121" s="31">
        <v>-12.92</v>
      </c>
      <c r="F121" s="31">
        <v>-0.26</v>
      </c>
      <c r="G121" s="31">
        <v>1.78</v>
      </c>
      <c r="H121" s="31">
        <v>19.1</v>
      </c>
      <c r="I121" s="31">
        <v>4.86</v>
      </c>
      <c r="J121" s="31">
        <v>26.12</v>
      </c>
    </row>
    <row r="122" spans="2:10">
      <c r="B122" s="22" t="s">
        <v>259</v>
      </c>
      <c r="C122" s="31">
        <v>3</v>
      </c>
      <c r="D122" s="31">
        <v>1.17</v>
      </c>
      <c r="E122" s="31">
        <v>-13.03</v>
      </c>
      <c r="F122" s="31">
        <v>-0.24</v>
      </c>
      <c r="G122" s="31">
        <v>1.58</v>
      </c>
      <c r="H122" s="31">
        <v>18.78</v>
      </c>
      <c r="I122" s="31">
        <v>4.46</v>
      </c>
      <c r="J122" s="31">
        <v>25.86</v>
      </c>
    </row>
    <row r="123" spans="2:10">
      <c r="B123" s="22" t="s">
        <v>260</v>
      </c>
      <c r="C123" s="31">
        <v>1</v>
      </c>
      <c r="D123" s="31">
        <v>0.6</v>
      </c>
      <c r="E123" s="31">
        <v>-8.8</v>
      </c>
      <c r="F123" s="31">
        <v>0.02</v>
      </c>
      <c r="G123" s="31">
        <v>1.78</v>
      </c>
      <c r="H123" s="31">
        <v>14.24</v>
      </c>
      <c r="I123" s="31">
        <v>4.93</v>
      </c>
      <c r="J123" s="31">
        <v>15.26</v>
      </c>
    </row>
    <row r="124" spans="2:10">
      <c r="B124" s="22" t="s">
        <v>260</v>
      </c>
      <c r="C124" s="31">
        <v>2</v>
      </c>
      <c r="D124" s="31">
        <v>0.55</v>
      </c>
      <c r="E124" s="31">
        <v>-9.14</v>
      </c>
      <c r="F124" s="31">
        <v>0.01</v>
      </c>
      <c r="G124" s="31">
        <v>1.58</v>
      </c>
      <c r="H124" s="31">
        <v>13.89</v>
      </c>
      <c r="I124" s="31">
        <v>4.44</v>
      </c>
      <c r="J124" s="31">
        <v>15.33</v>
      </c>
    </row>
    <row r="125" spans="2:10">
      <c r="B125" s="22" t="s">
        <v>260</v>
      </c>
      <c r="C125" s="31">
        <v>3</v>
      </c>
      <c r="D125" s="31">
        <v>0.55</v>
      </c>
      <c r="E125" s="31">
        <v>-9.25</v>
      </c>
      <c r="F125" s="31">
        <v>0.03</v>
      </c>
      <c r="G125" s="31">
        <v>1.4</v>
      </c>
      <c r="H125" s="31">
        <v>13.75</v>
      </c>
      <c r="I125" s="31">
        <v>4.15</v>
      </c>
      <c r="J125" s="31">
        <v>15.19</v>
      </c>
    </row>
    <row r="127" ht="15"/>
    <row r="128" ht="15.75" spans="2:19">
      <c r="B128" s="20" t="s">
        <v>17</v>
      </c>
      <c r="C128" s="20" t="s">
        <v>128</v>
      </c>
      <c r="D128" s="20" t="s">
        <v>129</v>
      </c>
      <c r="E128" s="20" t="s">
        <v>130</v>
      </c>
      <c r="F128" s="20" t="s">
        <v>131</v>
      </c>
      <c r="G128" s="20" t="s">
        <v>132</v>
      </c>
      <c r="H128" s="20" t="s">
        <v>133</v>
      </c>
      <c r="I128" s="20" t="s">
        <v>134</v>
      </c>
      <c r="K128" s="30" t="s">
        <v>240</v>
      </c>
      <c r="L128" s="27" t="s">
        <v>241</v>
      </c>
      <c r="M128" s="27" t="s">
        <v>128</v>
      </c>
      <c r="N128" s="27" t="s">
        <v>129</v>
      </c>
      <c r="O128" s="27" t="s">
        <v>130</v>
      </c>
      <c r="P128" s="27" t="s">
        <v>131</v>
      </c>
      <c r="Q128" s="27" t="s">
        <v>132</v>
      </c>
      <c r="R128" s="27" t="s">
        <v>133</v>
      </c>
      <c r="S128" s="27" t="s">
        <v>134</v>
      </c>
    </row>
    <row r="129" spans="2:19">
      <c r="B129" s="22" t="s">
        <v>145</v>
      </c>
      <c r="C129" s="22">
        <v>0</v>
      </c>
      <c r="D129" s="22">
        <v>0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K129" s="30">
        <v>1</v>
      </c>
      <c r="L129" s="27" t="s">
        <v>231</v>
      </c>
      <c r="M129" s="22">
        <v>1.29</v>
      </c>
      <c r="N129" s="22">
        <v>-12.12</v>
      </c>
      <c r="O129" s="22">
        <v>-0.3</v>
      </c>
      <c r="P129" s="22">
        <v>1.94</v>
      </c>
      <c r="Q129" s="22">
        <v>19.05</v>
      </c>
      <c r="R129" s="22">
        <v>4.73</v>
      </c>
      <c r="S129" s="22">
        <v>24.83</v>
      </c>
    </row>
    <row r="130" spans="2:19">
      <c r="B130" s="27" t="s">
        <v>266</v>
      </c>
      <c r="C130" s="22" t="s">
        <v>267</v>
      </c>
      <c r="D130" s="22" t="s">
        <v>268</v>
      </c>
      <c r="E130" s="22" t="s">
        <v>269</v>
      </c>
      <c r="F130" s="22" t="s">
        <v>270</v>
      </c>
      <c r="G130" s="22" t="s">
        <v>271</v>
      </c>
      <c r="H130" s="22" t="s">
        <v>272</v>
      </c>
      <c r="I130" s="22" t="s">
        <v>273</v>
      </c>
      <c r="K130" s="30">
        <v>2</v>
      </c>
      <c r="L130" s="27" t="s">
        <v>232</v>
      </c>
      <c r="M130" s="22">
        <v>1.24</v>
      </c>
      <c r="N130" s="22">
        <v>-7.5</v>
      </c>
      <c r="O130" s="22">
        <v>-0.2</v>
      </c>
      <c r="P130" s="22">
        <v>1.57</v>
      </c>
      <c r="Q130" s="22">
        <v>13.86</v>
      </c>
      <c r="R130" s="22">
        <v>3.54</v>
      </c>
      <c r="S130" s="22">
        <v>13.14</v>
      </c>
    </row>
    <row r="131" spans="2:19">
      <c r="B131" s="27" t="s">
        <v>274</v>
      </c>
      <c r="C131" s="22" t="s">
        <v>275</v>
      </c>
      <c r="D131" s="22" t="s">
        <v>276</v>
      </c>
      <c r="E131" s="22" t="s">
        <v>277</v>
      </c>
      <c r="F131" s="22" t="s">
        <v>278</v>
      </c>
      <c r="G131" s="22" t="s">
        <v>279</v>
      </c>
      <c r="H131" s="22" t="s">
        <v>280</v>
      </c>
      <c r="I131" s="22" t="s">
        <v>281</v>
      </c>
      <c r="K131" s="30">
        <v>3</v>
      </c>
      <c r="L131" s="27" t="s">
        <v>234</v>
      </c>
      <c r="M131" s="22">
        <v>2.84</v>
      </c>
      <c r="N131" s="22">
        <v>-8.74</v>
      </c>
      <c r="O131" s="22">
        <v>-0.3</v>
      </c>
      <c r="P131" s="22">
        <v>1.63</v>
      </c>
      <c r="Q131" s="22">
        <v>16.92</v>
      </c>
      <c r="R131" s="22">
        <v>3.5</v>
      </c>
      <c r="S131" s="22">
        <v>17.99</v>
      </c>
    </row>
    <row r="132" spans="2:19">
      <c r="B132" s="27" t="s">
        <v>282</v>
      </c>
      <c r="C132" s="22" t="s">
        <v>283</v>
      </c>
      <c r="D132" s="22" t="s">
        <v>284</v>
      </c>
      <c r="E132" s="22" t="s">
        <v>269</v>
      </c>
      <c r="F132" s="22" t="s">
        <v>285</v>
      </c>
      <c r="G132" s="22" t="s">
        <v>286</v>
      </c>
      <c r="H132" s="22" t="s">
        <v>287</v>
      </c>
      <c r="I132" s="22" t="s">
        <v>288</v>
      </c>
      <c r="J132" s="31"/>
      <c r="K132" s="30">
        <v>4</v>
      </c>
      <c r="L132" s="27" t="s">
        <v>235</v>
      </c>
      <c r="M132" s="22">
        <v>2.05</v>
      </c>
      <c r="N132" s="22">
        <v>-8.01</v>
      </c>
      <c r="O132" s="22">
        <v>0.3</v>
      </c>
      <c r="P132" s="22">
        <v>1.56</v>
      </c>
      <c r="Q132" s="22">
        <v>15.43</v>
      </c>
      <c r="R132" s="22">
        <v>3.06</v>
      </c>
      <c r="S132" s="22">
        <v>15.51</v>
      </c>
    </row>
    <row r="133" spans="2:19">
      <c r="B133" s="27" t="s">
        <v>289</v>
      </c>
      <c r="C133" s="22" t="s">
        <v>290</v>
      </c>
      <c r="D133" s="22" t="s">
        <v>291</v>
      </c>
      <c r="E133" s="22" t="s">
        <v>292</v>
      </c>
      <c r="F133" s="22" t="s">
        <v>293</v>
      </c>
      <c r="G133" s="22" t="s">
        <v>294</v>
      </c>
      <c r="H133" s="22" t="s">
        <v>295</v>
      </c>
      <c r="I133" s="22" t="s">
        <v>296</v>
      </c>
      <c r="J133" s="31"/>
      <c r="K133" s="30">
        <v>5</v>
      </c>
      <c r="L133" s="27" t="s">
        <v>237</v>
      </c>
      <c r="M133" s="22">
        <v>1.18</v>
      </c>
      <c r="N133" s="22">
        <v>-12.76</v>
      </c>
      <c r="O133" s="22">
        <v>-0.25</v>
      </c>
      <c r="P133" s="22">
        <v>1.75</v>
      </c>
      <c r="Q133" s="22">
        <v>19.21</v>
      </c>
      <c r="R133" s="22">
        <v>4.81</v>
      </c>
      <c r="S133" s="22">
        <v>25.87</v>
      </c>
    </row>
    <row r="134" spans="2:19">
      <c r="B134" s="27" t="s">
        <v>297</v>
      </c>
      <c r="C134" s="22" t="s">
        <v>298</v>
      </c>
      <c r="D134" s="22" t="s">
        <v>299</v>
      </c>
      <c r="E134" s="22" t="s">
        <v>300</v>
      </c>
      <c r="F134" s="22" t="s">
        <v>301</v>
      </c>
      <c r="G134" s="22" t="s">
        <v>302</v>
      </c>
      <c r="H134" s="22" t="s">
        <v>303</v>
      </c>
      <c r="I134" s="22" t="s">
        <v>304</v>
      </c>
      <c r="J134" s="31"/>
      <c r="K134" s="30">
        <v>6</v>
      </c>
      <c r="L134" s="27" t="s">
        <v>238</v>
      </c>
      <c r="M134" s="22">
        <v>0.57</v>
      </c>
      <c r="N134" s="22">
        <v>-8.98</v>
      </c>
      <c r="O134" s="22">
        <v>0.02</v>
      </c>
      <c r="P134" s="22">
        <v>1.61</v>
      </c>
      <c r="Q134" s="22">
        <v>14.07</v>
      </c>
      <c r="R134" s="22">
        <v>4.59</v>
      </c>
      <c r="S134" s="22">
        <v>15.19</v>
      </c>
    </row>
    <row r="135" ht="15" spans="2:19">
      <c r="B135" s="29" t="s">
        <v>305</v>
      </c>
      <c r="C135" s="23" t="s">
        <v>306</v>
      </c>
      <c r="D135" s="23" t="s">
        <v>307</v>
      </c>
      <c r="E135" s="23" t="s">
        <v>308</v>
      </c>
      <c r="F135" s="23" t="s">
        <v>309</v>
      </c>
      <c r="G135" s="23" t="s">
        <v>310</v>
      </c>
      <c r="H135" s="23" t="s">
        <v>311</v>
      </c>
      <c r="I135" s="23" t="s">
        <v>312</v>
      </c>
      <c r="K135" s="30"/>
      <c r="L135" s="27" t="s">
        <v>55</v>
      </c>
      <c r="M135" s="22">
        <f>(M129+M130+M131+M132+M133+M134)/6</f>
        <v>1.52833333333333</v>
      </c>
      <c r="N135" s="22">
        <f t="shared" ref="N135:S135" si="0">(N129+N130+N131+N132+N133+N134)/6</f>
        <v>-9.685</v>
      </c>
      <c r="O135" s="22">
        <f t="shared" si="0"/>
        <v>-0.121666666666667</v>
      </c>
      <c r="P135" s="22">
        <f t="shared" si="0"/>
        <v>1.67666666666667</v>
      </c>
      <c r="Q135" s="22">
        <f t="shared" si="0"/>
        <v>16.4233333333333</v>
      </c>
      <c r="R135" s="22">
        <f t="shared" si="0"/>
        <v>4.03833333333333</v>
      </c>
      <c r="S135" s="22">
        <f t="shared" si="0"/>
        <v>18.755</v>
      </c>
    </row>
    <row r="136" ht="15" spans="11:19">
      <c r="K136" s="30"/>
      <c r="L136" s="27" t="s">
        <v>313</v>
      </c>
      <c r="M136" s="39">
        <v>1.52833</v>
      </c>
      <c r="N136" s="39">
        <v>-9.685</v>
      </c>
      <c r="O136" s="39">
        <v>-0.12167</v>
      </c>
      <c r="P136" s="39">
        <v>1.67667</v>
      </c>
      <c r="Q136" s="39">
        <v>16.42333</v>
      </c>
      <c r="R136" s="39">
        <v>4.03833</v>
      </c>
      <c r="S136" s="39">
        <v>18.755</v>
      </c>
    </row>
    <row r="137" ht="15" spans="11:19">
      <c r="K137" s="30"/>
      <c r="L137" s="27" t="s">
        <v>111</v>
      </c>
      <c r="M137" s="39">
        <v>0.79653</v>
      </c>
      <c r="N137" s="39">
        <v>2.20702</v>
      </c>
      <c r="O137" s="39">
        <v>0.23836</v>
      </c>
      <c r="P137" s="39">
        <v>0.14583</v>
      </c>
      <c r="Q137" s="39">
        <v>2.36673</v>
      </c>
      <c r="R137" s="39">
        <v>0.75809</v>
      </c>
      <c r="S137" s="39">
        <v>5.34568</v>
      </c>
    </row>
    <row r="138" ht="15.75" spans="2:9">
      <c r="B138" s="20" t="s">
        <v>262</v>
      </c>
      <c r="C138" s="20" t="s">
        <v>128</v>
      </c>
      <c r="D138" s="20" t="s">
        <v>129</v>
      </c>
      <c r="E138" s="20" t="s">
        <v>130</v>
      </c>
      <c r="F138" s="20" t="s">
        <v>131</v>
      </c>
      <c r="G138" s="20" t="s">
        <v>132</v>
      </c>
      <c r="H138" s="20" t="s">
        <v>133</v>
      </c>
      <c r="I138" s="20" t="s">
        <v>134</v>
      </c>
    </row>
    <row r="139" spans="2:9">
      <c r="B139" s="22" t="s">
        <v>314</v>
      </c>
      <c r="C139" s="36">
        <f>(0.11+0.22+0.22+0.2+0.07+0.03)/6</f>
        <v>0.141666666666667</v>
      </c>
      <c r="D139" s="36">
        <f>(0.54+0.72+0.72+0.72+0.35+0.39)/6</f>
        <v>0.573333333333333</v>
      </c>
      <c r="E139" s="36">
        <v>0.02</v>
      </c>
      <c r="F139" s="36">
        <f>(0.49+0.36+0.33+0.3+0.34+0.27)/6</f>
        <v>0.348333333333333</v>
      </c>
      <c r="G139" s="36">
        <f>(0.91+0.58+0.69+0.58+0.68+0.46)/6</f>
        <v>0.65</v>
      </c>
      <c r="H139" s="36">
        <f>(0.75+0.52+0.53+0.47+0.74+0.55)/6</f>
        <v>0.593333333333333</v>
      </c>
      <c r="I139" s="36">
        <f>(0.19+0.37+0.21+0.31+0.33+0.1)/6</f>
        <v>0.251666666666667</v>
      </c>
    </row>
    <row r="140" ht="15" spans="2:9">
      <c r="B140" s="22" t="s">
        <v>315</v>
      </c>
      <c r="C140" s="37">
        <v>1.52833</v>
      </c>
      <c r="D140" s="37">
        <v>-9.685</v>
      </c>
      <c r="E140" s="37">
        <v>-0.12167</v>
      </c>
      <c r="F140" s="37">
        <v>1.67667</v>
      </c>
      <c r="G140" s="37">
        <v>16.42333</v>
      </c>
      <c r="H140" s="37">
        <v>4.03833</v>
      </c>
      <c r="I140" s="37">
        <v>18.755</v>
      </c>
    </row>
    <row r="141" ht="15" spans="2:9">
      <c r="B141" s="22" t="s">
        <v>316</v>
      </c>
      <c r="C141" s="37">
        <v>0.79653</v>
      </c>
      <c r="D141" s="37">
        <v>2.20702</v>
      </c>
      <c r="E141" s="37">
        <v>0.23836</v>
      </c>
      <c r="F141" s="37">
        <v>0.14583</v>
      </c>
      <c r="G141" s="37">
        <v>2.36673</v>
      </c>
      <c r="H141" s="37">
        <v>0.75809</v>
      </c>
      <c r="I141" s="37">
        <v>5.34568</v>
      </c>
    </row>
    <row r="142" ht="15" spans="2:9">
      <c r="B142" s="22" t="s">
        <v>317</v>
      </c>
      <c r="C142" s="36">
        <f>C139/C140*100</f>
        <v>9.2693768143442</v>
      </c>
      <c r="D142" s="36">
        <f t="shared" ref="D142:I142" si="1">D139/D140*100</f>
        <v>-5.91980726208914</v>
      </c>
      <c r="E142" s="36">
        <f t="shared" si="1"/>
        <v>-16.4379058107997</v>
      </c>
      <c r="F142" s="36">
        <f t="shared" si="1"/>
        <v>20.7753066097284</v>
      </c>
      <c r="G142" s="36">
        <f t="shared" si="1"/>
        <v>3.9577844444458</v>
      </c>
      <c r="H142" s="36">
        <f t="shared" si="1"/>
        <v>14.6925420491474</v>
      </c>
      <c r="I142" s="36">
        <f t="shared" si="1"/>
        <v>1.34186439171776</v>
      </c>
    </row>
    <row r="143" ht="15.75" spans="2:9">
      <c r="B143" s="23" t="s">
        <v>318</v>
      </c>
      <c r="C143" s="38">
        <f>C139/C141*100</f>
        <v>17.7854778434794</v>
      </c>
      <c r="D143" s="38">
        <f t="shared" ref="D143:I143" si="2">D139/D141*100</f>
        <v>25.9777135383156</v>
      </c>
      <c r="E143" s="38">
        <f t="shared" si="2"/>
        <v>8.39066957543212</v>
      </c>
      <c r="F143" s="38">
        <f t="shared" si="2"/>
        <v>238.862602573773</v>
      </c>
      <c r="G143" s="38">
        <f t="shared" si="2"/>
        <v>27.4640537788425</v>
      </c>
      <c r="H143" s="38">
        <f t="shared" si="2"/>
        <v>78.266872446983</v>
      </c>
      <c r="I143" s="38">
        <f t="shared" si="2"/>
        <v>4.70785132418451</v>
      </c>
    </row>
    <row r="144" ht="15"/>
  </sheetData>
  <mergeCells count="8">
    <mergeCell ref="B24:C24"/>
    <mergeCell ref="B37:C37"/>
    <mergeCell ref="B38:C38"/>
    <mergeCell ref="C46:D46"/>
    <mergeCell ref="B25:B27"/>
    <mergeCell ref="B28:B30"/>
    <mergeCell ref="B31:B33"/>
    <mergeCell ref="B39:B41"/>
  </mergeCells>
  <pageMargins left="0.75" right="0.75" top="1" bottom="1" header="0.5" footer="0.5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1"/>
  <sheetViews>
    <sheetView tabSelected="1" zoomScale="85" zoomScaleNormal="85" workbookViewId="0">
      <selection activeCell="F53" sqref="F53"/>
    </sheetView>
  </sheetViews>
  <sheetFormatPr defaultColWidth="9" defaultRowHeight="14.25"/>
  <cols>
    <col min="3" max="3" width="5.66666666666667" customWidth="1"/>
    <col min="4" max="4" width="21.3333333333333" customWidth="1"/>
    <col min="5" max="5" width="5.5" customWidth="1"/>
    <col min="6" max="6" width="20.25" customWidth="1"/>
    <col min="7" max="7" width="5.25" customWidth="1"/>
    <col min="8" max="8" width="19.1666666666667" customWidth="1"/>
    <col min="9" max="9" width="5.41666666666667" customWidth="1"/>
    <col min="10" max="10" width="18.5" customWidth="1"/>
    <col min="11" max="11" width="5.16666666666667" customWidth="1"/>
    <col min="12" max="12" width="19.5833333333333" customWidth="1"/>
    <col min="13" max="13" width="5.33333333333333" customWidth="1"/>
  </cols>
  <sheetData>
    <row r="1" spans="2:2">
      <c r="B1" s="1" t="s">
        <v>319</v>
      </c>
    </row>
    <row r="3" ht="36" customHeight="1"/>
    <row r="4" ht="37.5" customHeight="1"/>
    <row r="5" ht="36" customHeight="1"/>
    <row r="6" ht="38.5" customHeight="1"/>
    <row r="7" ht="35.5" customHeight="1"/>
    <row r="8" ht="35" customHeight="1"/>
    <row r="22" spans="1:1">
      <c r="A22" s="1">
        <v>1</v>
      </c>
    </row>
    <row r="23" spans="1:14">
      <c r="A23" s="2" t="s">
        <v>26</v>
      </c>
      <c r="B23" s="3"/>
      <c r="C23" s="4"/>
      <c r="D23" s="5" t="s">
        <v>320</v>
      </c>
      <c r="E23" s="5"/>
      <c r="F23" s="5" t="s">
        <v>321</v>
      </c>
      <c r="G23" s="5"/>
      <c r="H23" s="5" t="s">
        <v>322</v>
      </c>
      <c r="I23" s="5"/>
      <c r="J23" s="5" t="s">
        <v>323</v>
      </c>
      <c r="K23" s="5"/>
      <c r="L23" s="5" t="s">
        <v>324</v>
      </c>
      <c r="M23" s="5"/>
      <c r="N23" s="5" t="s">
        <v>325</v>
      </c>
    </row>
    <row r="24" spans="1:14">
      <c r="A24" s="6"/>
      <c r="B24" s="7"/>
      <c r="C24" s="8"/>
      <c r="D24" s="5" t="s">
        <v>326</v>
      </c>
      <c r="E24" s="5" t="s">
        <v>327</v>
      </c>
      <c r="F24" s="5" t="s">
        <v>326</v>
      </c>
      <c r="G24" s="5" t="s">
        <v>327</v>
      </c>
      <c r="H24" s="5" t="s">
        <v>326</v>
      </c>
      <c r="I24" s="5" t="s">
        <v>327</v>
      </c>
      <c r="J24" s="5" t="s">
        <v>326</v>
      </c>
      <c r="K24" s="5" t="s">
        <v>327</v>
      </c>
      <c r="L24" s="5" t="s">
        <v>326</v>
      </c>
      <c r="M24" s="5" t="s">
        <v>327</v>
      </c>
      <c r="N24" s="5"/>
    </row>
    <row r="25" spans="1:14">
      <c r="A25" s="9" t="s">
        <v>36</v>
      </c>
      <c r="B25" s="9" t="s">
        <v>86</v>
      </c>
      <c r="C25" s="5">
        <v>1</v>
      </c>
      <c r="D25" s="10" t="s">
        <v>328</v>
      </c>
      <c r="E25" s="11">
        <v>76</v>
      </c>
      <c r="F25" s="10" t="s">
        <v>329</v>
      </c>
      <c r="G25" s="11">
        <v>78</v>
      </c>
      <c r="H25" s="10" t="s">
        <v>330</v>
      </c>
      <c r="I25" s="11">
        <v>85</v>
      </c>
      <c r="J25" s="10" t="s">
        <v>331</v>
      </c>
      <c r="K25" s="11">
        <v>84</v>
      </c>
      <c r="L25" s="10" t="s">
        <v>332</v>
      </c>
      <c r="M25" s="11">
        <v>80</v>
      </c>
      <c r="N25" s="11">
        <v>80.4</v>
      </c>
    </row>
    <row r="26" spans="1:14">
      <c r="A26" s="12"/>
      <c r="B26" s="12"/>
      <c r="C26" s="5">
        <v>2</v>
      </c>
      <c r="D26" s="10" t="s">
        <v>333</v>
      </c>
      <c r="E26" s="11">
        <v>75</v>
      </c>
      <c r="F26" s="10" t="s">
        <v>329</v>
      </c>
      <c r="G26" s="11">
        <v>76</v>
      </c>
      <c r="H26" s="5" t="s">
        <v>334</v>
      </c>
      <c r="I26" s="11">
        <v>88</v>
      </c>
      <c r="J26" s="10" t="s">
        <v>335</v>
      </c>
      <c r="K26" s="11">
        <v>85</v>
      </c>
      <c r="L26" s="10" t="s">
        <v>336</v>
      </c>
      <c r="M26" s="11">
        <v>84</v>
      </c>
      <c r="N26" s="11">
        <v>81.05</v>
      </c>
    </row>
    <row r="27" ht="24" spans="1:14">
      <c r="A27" s="12"/>
      <c r="B27" s="12"/>
      <c r="C27" s="5">
        <v>3</v>
      </c>
      <c r="D27" s="5" t="s">
        <v>337</v>
      </c>
      <c r="E27" s="11">
        <v>78</v>
      </c>
      <c r="F27" s="5" t="s">
        <v>329</v>
      </c>
      <c r="G27" s="11"/>
      <c r="H27" s="5" t="s">
        <v>334</v>
      </c>
      <c r="I27" s="11">
        <v>89</v>
      </c>
      <c r="J27" s="5" t="s">
        <v>338</v>
      </c>
      <c r="K27" s="11">
        <v>89</v>
      </c>
      <c r="L27" s="10" t="s">
        <v>339</v>
      </c>
      <c r="M27" s="11">
        <v>82</v>
      </c>
      <c r="N27" s="11">
        <v>83.05</v>
      </c>
    </row>
    <row r="28" spans="1:14">
      <c r="A28" s="12"/>
      <c r="B28" s="12"/>
      <c r="C28" s="5">
        <v>4</v>
      </c>
      <c r="D28" s="5" t="s">
        <v>340</v>
      </c>
      <c r="E28" s="11">
        <v>73</v>
      </c>
      <c r="F28" s="10" t="s">
        <v>329</v>
      </c>
      <c r="G28" s="11">
        <v>77</v>
      </c>
      <c r="H28" s="10" t="s">
        <v>341</v>
      </c>
      <c r="I28" s="11">
        <v>84</v>
      </c>
      <c r="J28" s="5" t="s">
        <v>342</v>
      </c>
      <c r="K28" s="11">
        <v>83</v>
      </c>
      <c r="L28" s="10" t="s">
        <v>336</v>
      </c>
      <c r="M28" s="11">
        <v>83</v>
      </c>
      <c r="N28" s="11">
        <v>79.3</v>
      </c>
    </row>
    <row r="29" ht="24" spans="1:14">
      <c r="A29" s="12"/>
      <c r="B29" s="13"/>
      <c r="C29" s="5">
        <v>5</v>
      </c>
      <c r="D29" s="5" t="s">
        <v>343</v>
      </c>
      <c r="E29" s="11">
        <v>83</v>
      </c>
      <c r="F29" s="5" t="s">
        <v>344</v>
      </c>
      <c r="G29" s="11">
        <v>80</v>
      </c>
      <c r="H29" s="10" t="s">
        <v>330</v>
      </c>
      <c r="I29" s="11">
        <v>89</v>
      </c>
      <c r="J29" s="10" t="s">
        <v>331</v>
      </c>
      <c r="K29" s="11">
        <v>84</v>
      </c>
      <c r="L29" s="10" t="s">
        <v>345</v>
      </c>
      <c r="M29" s="11">
        <v>86</v>
      </c>
      <c r="N29" s="11">
        <v>84.45</v>
      </c>
    </row>
    <row r="30" spans="1:14">
      <c r="A30" s="12"/>
      <c r="B30" s="14" t="s">
        <v>67</v>
      </c>
      <c r="C30" s="15"/>
      <c r="D30" s="16"/>
      <c r="E30" s="17">
        <v>77</v>
      </c>
      <c r="F30" s="16"/>
      <c r="G30" s="17">
        <v>78</v>
      </c>
      <c r="H30" s="16"/>
      <c r="I30" s="17">
        <v>87</v>
      </c>
      <c r="J30" s="16"/>
      <c r="K30" s="17">
        <v>85</v>
      </c>
      <c r="L30" s="16"/>
      <c r="M30" s="17">
        <v>83</v>
      </c>
      <c r="N30" s="17">
        <v>81.65</v>
      </c>
    </row>
    <row r="31" spans="1:14">
      <c r="A31" s="12"/>
      <c r="B31" s="9" t="s">
        <v>88</v>
      </c>
      <c r="C31" s="5">
        <v>1</v>
      </c>
      <c r="D31" s="10" t="s">
        <v>346</v>
      </c>
      <c r="E31" s="11">
        <v>71</v>
      </c>
      <c r="F31" s="10" t="s">
        <v>347</v>
      </c>
      <c r="G31" s="11">
        <v>87</v>
      </c>
      <c r="H31" s="10" t="s">
        <v>348</v>
      </c>
      <c r="I31" s="11">
        <v>84</v>
      </c>
      <c r="J31" s="10" t="s">
        <v>349</v>
      </c>
      <c r="K31" s="11">
        <v>75</v>
      </c>
      <c r="L31" s="10" t="s">
        <v>350</v>
      </c>
      <c r="M31" s="11">
        <v>86</v>
      </c>
      <c r="N31" s="11">
        <v>80.8</v>
      </c>
    </row>
    <row r="32" spans="1:14">
      <c r="A32" s="12"/>
      <c r="B32" s="12"/>
      <c r="C32" s="5">
        <v>2</v>
      </c>
      <c r="D32" s="5" t="s">
        <v>351</v>
      </c>
      <c r="E32" s="11">
        <v>75</v>
      </c>
      <c r="F32" s="5" t="s">
        <v>352</v>
      </c>
      <c r="G32" s="11">
        <v>82</v>
      </c>
      <c r="H32" s="10" t="s">
        <v>330</v>
      </c>
      <c r="I32" s="11">
        <v>87</v>
      </c>
      <c r="J32" s="10" t="s">
        <v>353</v>
      </c>
      <c r="K32" s="11">
        <v>71</v>
      </c>
      <c r="L32" s="10" t="s">
        <v>354</v>
      </c>
      <c r="M32" s="11">
        <v>84</v>
      </c>
      <c r="N32" s="11">
        <v>80.85</v>
      </c>
    </row>
    <row r="33" spans="1:14">
      <c r="A33" s="12"/>
      <c r="B33" s="12"/>
      <c r="C33" s="5">
        <v>3</v>
      </c>
      <c r="D33" s="5" t="s">
        <v>355</v>
      </c>
      <c r="E33" s="11">
        <v>73</v>
      </c>
      <c r="F33" s="5" t="s">
        <v>347</v>
      </c>
      <c r="G33" s="11">
        <v>86</v>
      </c>
      <c r="H33" s="10" t="s">
        <v>341</v>
      </c>
      <c r="I33" s="11">
        <v>80</v>
      </c>
      <c r="J33" s="10" t="s">
        <v>349</v>
      </c>
      <c r="K33" s="11">
        <v>74</v>
      </c>
      <c r="L33" s="10" t="s">
        <v>356</v>
      </c>
      <c r="M33" s="11">
        <v>87</v>
      </c>
      <c r="N33" s="11">
        <v>79.85</v>
      </c>
    </row>
    <row r="34" ht="24" spans="1:14">
      <c r="A34" s="12"/>
      <c r="B34" s="12"/>
      <c r="C34" s="5">
        <v>4</v>
      </c>
      <c r="D34" s="5" t="s">
        <v>357</v>
      </c>
      <c r="E34" s="11">
        <v>77</v>
      </c>
      <c r="F34" s="5" t="s">
        <v>358</v>
      </c>
      <c r="G34" s="11">
        <v>83</v>
      </c>
      <c r="H34" s="10" t="s">
        <v>359</v>
      </c>
      <c r="I34" s="11">
        <v>82</v>
      </c>
      <c r="J34" s="10" t="s">
        <v>353</v>
      </c>
      <c r="K34" s="11">
        <v>70</v>
      </c>
      <c r="L34" s="10" t="s">
        <v>345</v>
      </c>
      <c r="M34" s="11">
        <v>85</v>
      </c>
      <c r="N34" s="11">
        <v>80.1</v>
      </c>
    </row>
    <row r="35" spans="1:14">
      <c r="A35" s="12"/>
      <c r="B35" s="13"/>
      <c r="C35" s="5">
        <v>5</v>
      </c>
      <c r="D35" s="5" t="s">
        <v>360</v>
      </c>
      <c r="E35" s="11">
        <v>74</v>
      </c>
      <c r="F35" s="5" t="s">
        <v>361</v>
      </c>
      <c r="G35" s="11">
        <v>82</v>
      </c>
      <c r="H35" s="10" t="s">
        <v>341</v>
      </c>
      <c r="I35" s="11">
        <v>82</v>
      </c>
      <c r="J35" s="10" t="s">
        <v>353</v>
      </c>
      <c r="K35" s="11">
        <v>70</v>
      </c>
      <c r="L35" s="10" t="s">
        <v>356</v>
      </c>
      <c r="M35" s="11">
        <v>88</v>
      </c>
      <c r="N35" s="11">
        <v>79.4</v>
      </c>
    </row>
    <row r="36" spans="1:14">
      <c r="A36" s="12"/>
      <c r="B36" s="14" t="s">
        <v>67</v>
      </c>
      <c r="C36" s="15"/>
      <c r="D36" s="16"/>
      <c r="E36" s="17">
        <v>74</v>
      </c>
      <c r="F36" s="16"/>
      <c r="G36" s="17">
        <v>84</v>
      </c>
      <c r="H36" s="16"/>
      <c r="I36" s="17">
        <v>83</v>
      </c>
      <c r="J36" s="16"/>
      <c r="K36" s="17">
        <v>72</v>
      </c>
      <c r="L36" s="16"/>
      <c r="M36" s="17">
        <v>86</v>
      </c>
      <c r="N36" s="17">
        <v>80.2</v>
      </c>
    </row>
    <row r="37" ht="24" spans="1:14">
      <c r="A37" s="9" t="s">
        <v>37</v>
      </c>
      <c r="B37" s="9" t="s">
        <v>86</v>
      </c>
      <c r="C37" s="5">
        <v>1</v>
      </c>
      <c r="D37" s="10" t="s">
        <v>340</v>
      </c>
      <c r="E37" s="11">
        <v>75</v>
      </c>
      <c r="F37" s="10" t="s">
        <v>352</v>
      </c>
      <c r="G37" s="11">
        <v>80</v>
      </c>
      <c r="H37" s="10" t="s">
        <v>359</v>
      </c>
      <c r="I37" s="11">
        <v>83</v>
      </c>
      <c r="J37" s="10" t="s">
        <v>331</v>
      </c>
      <c r="K37" s="11">
        <v>84</v>
      </c>
      <c r="L37" s="10" t="s">
        <v>362</v>
      </c>
      <c r="M37" s="11">
        <v>94</v>
      </c>
      <c r="N37" s="11">
        <v>81.45</v>
      </c>
    </row>
    <row r="38" spans="1:14">
      <c r="A38" s="12"/>
      <c r="B38" s="12"/>
      <c r="C38" s="5">
        <v>2</v>
      </c>
      <c r="D38" s="5" t="s">
        <v>363</v>
      </c>
      <c r="E38" s="11">
        <v>72</v>
      </c>
      <c r="F38" s="5" t="s">
        <v>344</v>
      </c>
      <c r="G38" s="11">
        <v>84</v>
      </c>
      <c r="H38" s="10" t="s">
        <v>341</v>
      </c>
      <c r="I38" s="11">
        <v>80</v>
      </c>
      <c r="J38" s="5" t="s">
        <v>335</v>
      </c>
      <c r="K38" s="11">
        <v>87</v>
      </c>
      <c r="L38" s="10" t="s">
        <v>356</v>
      </c>
      <c r="M38" s="11">
        <v>89</v>
      </c>
      <c r="N38" s="11">
        <v>80.6</v>
      </c>
    </row>
    <row r="39" ht="24" spans="1:14">
      <c r="A39" s="12"/>
      <c r="B39" s="12"/>
      <c r="C39" s="5">
        <v>3</v>
      </c>
      <c r="D39" s="5" t="s">
        <v>333</v>
      </c>
      <c r="E39" s="11">
        <v>79</v>
      </c>
      <c r="F39" s="5" t="s">
        <v>329</v>
      </c>
      <c r="G39" s="11">
        <v>82</v>
      </c>
      <c r="H39" s="10" t="s">
        <v>330</v>
      </c>
      <c r="I39" s="11">
        <v>85</v>
      </c>
      <c r="J39" s="5" t="s">
        <v>338</v>
      </c>
      <c r="K39" s="11">
        <v>88</v>
      </c>
      <c r="L39" s="10" t="s">
        <v>345</v>
      </c>
      <c r="M39" s="11">
        <v>87</v>
      </c>
      <c r="N39" s="11">
        <v>83.25</v>
      </c>
    </row>
    <row r="40" ht="24" spans="1:14">
      <c r="A40" s="12"/>
      <c r="B40" s="12"/>
      <c r="C40" s="5">
        <v>4</v>
      </c>
      <c r="D40" s="5" t="s">
        <v>363</v>
      </c>
      <c r="E40" s="11">
        <v>74</v>
      </c>
      <c r="F40" s="5" t="s">
        <v>352</v>
      </c>
      <c r="G40" s="11">
        <v>86</v>
      </c>
      <c r="H40" s="10" t="s">
        <v>341</v>
      </c>
      <c r="I40" s="11">
        <v>82</v>
      </c>
      <c r="J40" s="5" t="s">
        <v>342</v>
      </c>
      <c r="K40" s="11">
        <v>82</v>
      </c>
      <c r="L40" s="10" t="s">
        <v>364</v>
      </c>
      <c r="M40" s="11">
        <v>92</v>
      </c>
      <c r="N40" s="11">
        <v>82</v>
      </c>
    </row>
    <row r="41" spans="1:14">
      <c r="A41" s="12"/>
      <c r="B41" s="13"/>
      <c r="C41" s="5">
        <v>5</v>
      </c>
      <c r="D41" s="5" t="s">
        <v>365</v>
      </c>
      <c r="E41" s="11">
        <v>80</v>
      </c>
      <c r="F41" s="5" t="s">
        <v>329</v>
      </c>
      <c r="G41" s="11">
        <v>78</v>
      </c>
      <c r="H41" s="10" t="s">
        <v>330</v>
      </c>
      <c r="I41" s="11">
        <v>85</v>
      </c>
      <c r="J41" s="10" t="s">
        <v>331</v>
      </c>
      <c r="K41" s="11">
        <v>84</v>
      </c>
      <c r="L41" s="10" t="s">
        <v>362</v>
      </c>
      <c r="M41" s="11">
        <v>93</v>
      </c>
      <c r="N41" s="11">
        <v>82.7</v>
      </c>
    </row>
    <row r="42" spans="1:14">
      <c r="A42" s="12"/>
      <c r="B42" s="14" t="s">
        <v>67</v>
      </c>
      <c r="C42" s="15"/>
      <c r="D42" s="16"/>
      <c r="E42" s="17">
        <v>76</v>
      </c>
      <c r="F42" s="16"/>
      <c r="G42" s="17">
        <v>82</v>
      </c>
      <c r="H42" s="16"/>
      <c r="I42" s="17">
        <v>83</v>
      </c>
      <c r="J42" s="16"/>
      <c r="K42" s="17">
        <v>85</v>
      </c>
      <c r="L42" s="16"/>
      <c r="M42" s="17">
        <v>91</v>
      </c>
      <c r="N42" s="17">
        <v>82</v>
      </c>
    </row>
    <row r="43" spans="1:14">
      <c r="A43" s="12"/>
      <c r="B43" s="9" t="s">
        <v>88</v>
      </c>
      <c r="C43" s="5">
        <v>1</v>
      </c>
      <c r="D43" s="10" t="s">
        <v>351</v>
      </c>
      <c r="E43" s="11">
        <v>70</v>
      </c>
      <c r="F43" s="10" t="s">
        <v>366</v>
      </c>
      <c r="G43" s="11">
        <v>87</v>
      </c>
      <c r="H43" s="10" t="s">
        <v>348</v>
      </c>
      <c r="I43" s="11">
        <v>81</v>
      </c>
      <c r="J43" s="10" t="s">
        <v>349</v>
      </c>
      <c r="K43" s="11">
        <v>78</v>
      </c>
      <c r="L43" s="10" t="s">
        <v>354</v>
      </c>
      <c r="M43" s="11">
        <v>85</v>
      </c>
      <c r="N43" s="11">
        <v>79.85</v>
      </c>
    </row>
    <row r="44" ht="24" spans="1:14">
      <c r="A44" s="12"/>
      <c r="B44" s="12"/>
      <c r="C44" s="5">
        <v>2</v>
      </c>
      <c r="D44" s="5" t="s">
        <v>337</v>
      </c>
      <c r="E44" s="11">
        <v>75</v>
      </c>
      <c r="F44" s="5" t="s">
        <v>352</v>
      </c>
      <c r="G44" s="11">
        <v>83</v>
      </c>
      <c r="H44" s="10" t="s">
        <v>367</v>
      </c>
      <c r="I44" s="11">
        <v>77</v>
      </c>
      <c r="J44" s="10" t="s">
        <v>353</v>
      </c>
      <c r="K44" s="11">
        <v>74</v>
      </c>
      <c r="L44" s="10" t="s">
        <v>364</v>
      </c>
      <c r="M44" s="11">
        <v>91</v>
      </c>
      <c r="N44" s="11">
        <v>79.1</v>
      </c>
    </row>
    <row r="45" spans="1:14">
      <c r="A45" s="12"/>
      <c r="B45" s="12"/>
      <c r="C45" s="5">
        <v>3</v>
      </c>
      <c r="D45" s="5" t="s">
        <v>357</v>
      </c>
      <c r="E45" s="11">
        <v>72</v>
      </c>
      <c r="F45" s="5" t="s">
        <v>368</v>
      </c>
      <c r="G45" s="11">
        <v>89</v>
      </c>
      <c r="H45" s="10" t="s">
        <v>341</v>
      </c>
      <c r="I45" s="11">
        <v>80</v>
      </c>
      <c r="J45" s="10" t="s">
        <v>349</v>
      </c>
      <c r="K45" s="11">
        <v>79</v>
      </c>
      <c r="L45" s="10" t="s">
        <v>356</v>
      </c>
      <c r="M45" s="11">
        <v>89</v>
      </c>
      <c r="N45" s="11">
        <v>81.05</v>
      </c>
    </row>
    <row r="46" spans="1:14">
      <c r="A46" s="12"/>
      <c r="B46" s="12"/>
      <c r="C46" s="5">
        <v>4</v>
      </c>
      <c r="D46" s="5" t="s">
        <v>340</v>
      </c>
      <c r="E46" s="11">
        <v>75</v>
      </c>
      <c r="F46" s="5" t="s">
        <v>347</v>
      </c>
      <c r="G46" s="11">
        <v>88</v>
      </c>
      <c r="H46" s="10" t="s">
        <v>367</v>
      </c>
      <c r="I46" s="11">
        <v>75</v>
      </c>
      <c r="J46" s="10" t="s">
        <v>353</v>
      </c>
      <c r="K46" s="11">
        <v>75</v>
      </c>
      <c r="L46" s="10" t="s">
        <v>354</v>
      </c>
      <c r="M46" s="11">
        <v>84</v>
      </c>
      <c r="N46" s="11">
        <v>79.15</v>
      </c>
    </row>
    <row r="47" spans="1:14">
      <c r="A47" s="12"/>
      <c r="B47" s="12"/>
      <c r="C47" s="9">
        <v>5</v>
      </c>
      <c r="D47" s="5" t="s">
        <v>369</v>
      </c>
      <c r="E47" s="11">
        <v>78</v>
      </c>
      <c r="F47" s="5" t="s">
        <v>370</v>
      </c>
      <c r="G47" s="11">
        <v>83</v>
      </c>
      <c r="H47" s="10" t="s">
        <v>359</v>
      </c>
      <c r="I47" s="11">
        <v>82</v>
      </c>
      <c r="J47" s="10" t="s">
        <v>353</v>
      </c>
      <c r="K47" s="11">
        <v>74</v>
      </c>
      <c r="L47" s="10" t="s">
        <v>356</v>
      </c>
      <c r="M47" s="11">
        <v>86</v>
      </c>
      <c r="N47" s="11">
        <v>80.85</v>
      </c>
    </row>
    <row r="48" spans="1:14">
      <c r="A48" s="12"/>
      <c r="B48" s="14" t="s">
        <v>67</v>
      </c>
      <c r="C48" s="15"/>
      <c r="D48" s="16"/>
      <c r="E48" s="17">
        <v>74</v>
      </c>
      <c r="F48" s="16"/>
      <c r="G48" s="17">
        <v>86</v>
      </c>
      <c r="H48" s="16"/>
      <c r="I48" s="17">
        <v>79</v>
      </c>
      <c r="J48" s="16"/>
      <c r="K48" s="17">
        <v>76</v>
      </c>
      <c r="L48" s="16"/>
      <c r="M48" s="17">
        <v>87</v>
      </c>
      <c r="N48" s="17">
        <v>80</v>
      </c>
    </row>
    <row r="49" spans="1:14">
      <c r="A49" s="9" t="s">
        <v>39</v>
      </c>
      <c r="B49" s="12" t="s">
        <v>86</v>
      </c>
      <c r="C49" s="13">
        <v>1</v>
      </c>
      <c r="D49" s="10" t="s">
        <v>371</v>
      </c>
      <c r="E49" s="11">
        <v>75</v>
      </c>
      <c r="F49" s="10" t="s">
        <v>352</v>
      </c>
      <c r="G49" s="11">
        <v>77</v>
      </c>
      <c r="H49" s="10" t="s">
        <v>367</v>
      </c>
      <c r="I49" s="11">
        <v>84</v>
      </c>
      <c r="J49" s="5" t="s">
        <v>338</v>
      </c>
      <c r="K49" s="11">
        <v>89</v>
      </c>
      <c r="L49" s="10" t="s">
        <v>372</v>
      </c>
      <c r="M49" s="11">
        <v>84</v>
      </c>
      <c r="N49" s="11">
        <v>80.5</v>
      </c>
    </row>
    <row r="50" ht="24" spans="1:14">
      <c r="A50" s="12"/>
      <c r="B50" s="12"/>
      <c r="C50" s="5">
        <v>2</v>
      </c>
      <c r="D50" s="5" t="s">
        <v>371</v>
      </c>
      <c r="E50" s="11">
        <v>73</v>
      </c>
      <c r="F50" s="5" t="s">
        <v>329</v>
      </c>
      <c r="G50" s="11">
        <v>74</v>
      </c>
      <c r="H50" s="10" t="s">
        <v>359</v>
      </c>
      <c r="I50" s="11">
        <v>82</v>
      </c>
      <c r="J50" s="10" t="s">
        <v>331</v>
      </c>
      <c r="K50" s="11">
        <v>84</v>
      </c>
      <c r="L50" s="10" t="s">
        <v>345</v>
      </c>
      <c r="M50" s="11">
        <v>85</v>
      </c>
      <c r="N50" s="11">
        <v>78.25</v>
      </c>
    </row>
    <row r="51" spans="1:14">
      <c r="A51" s="12"/>
      <c r="B51" s="12"/>
      <c r="C51" s="5">
        <v>3</v>
      </c>
      <c r="D51" s="5" t="s">
        <v>373</v>
      </c>
      <c r="E51" s="11">
        <v>82</v>
      </c>
      <c r="F51" s="5" t="s">
        <v>329</v>
      </c>
      <c r="G51" s="11">
        <v>78</v>
      </c>
      <c r="H51" s="10" t="s">
        <v>330</v>
      </c>
      <c r="I51" s="11">
        <v>85</v>
      </c>
      <c r="J51" s="5" t="s">
        <v>338</v>
      </c>
      <c r="K51" s="11">
        <v>87</v>
      </c>
      <c r="L51" s="10" t="s">
        <v>336</v>
      </c>
      <c r="M51" s="11">
        <v>83</v>
      </c>
      <c r="N51" s="11">
        <v>82.5</v>
      </c>
    </row>
    <row r="52" spans="1:14">
      <c r="A52" s="12"/>
      <c r="B52" s="12"/>
      <c r="C52" s="5">
        <v>4</v>
      </c>
      <c r="D52" s="5" t="s">
        <v>340</v>
      </c>
      <c r="E52" s="11">
        <v>84</v>
      </c>
      <c r="F52" s="5" t="s">
        <v>352</v>
      </c>
      <c r="G52" s="11">
        <v>75</v>
      </c>
      <c r="H52" s="10" t="s">
        <v>341</v>
      </c>
      <c r="I52" s="11">
        <v>80</v>
      </c>
      <c r="J52" s="5" t="s">
        <v>342</v>
      </c>
      <c r="K52" s="11">
        <v>85</v>
      </c>
      <c r="L52" s="10" t="s">
        <v>332</v>
      </c>
      <c r="M52" s="11">
        <v>81</v>
      </c>
      <c r="N52" s="11">
        <v>80.35</v>
      </c>
    </row>
    <row r="53" ht="24" spans="1:14">
      <c r="A53" s="12"/>
      <c r="B53" s="12"/>
      <c r="C53" s="9">
        <v>5</v>
      </c>
      <c r="D53" s="5" t="s">
        <v>371</v>
      </c>
      <c r="E53" s="11">
        <v>76</v>
      </c>
      <c r="F53" s="5" t="s">
        <v>347</v>
      </c>
      <c r="G53" s="11">
        <v>76</v>
      </c>
      <c r="H53" s="10" t="s">
        <v>359</v>
      </c>
      <c r="I53" s="11">
        <v>84</v>
      </c>
      <c r="J53" s="5" t="s">
        <v>338</v>
      </c>
      <c r="K53" s="11">
        <v>90</v>
      </c>
      <c r="L53" s="10" t="s">
        <v>339</v>
      </c>
      <c r="M53" s="11">
        <v>82</v>
      </c>
      <c r="N53" s="11">
        <v>80.4</v>
      </c>
    </row>
    <row r="54" spans="1:14">
      <c r="A54" s="12"/>
      <c r="B54" s="14" t="s">
        <v>67</v>
      </c>
      <c r="C54" s="15"/>
      <c r="D54" s="16"/>
      <c r="E54" s="17">
        <v>78</v>
      </c>
      <c r="F54" s="16"/>
      <c r="G54" s="17">
        <v>76</v>
      </c>
      <c r="H54" s="16"/>
      <c r="I54" s="17">
        <v>83</v>
      </c>
      <c r="J54" s="16"/>
      <c r="K54" s="17">
        <v>87</v>
      </c>
      <c r="L54" s="16"/>
      <c r="M54" s="17">
        <v>83</v>
      </c>
      <c r="N54" s="17">
        <v>80.4</v>
      </c>
    </row>
    <row r="55" ht="24" spans="1:14">
      <c r="A55" s="12"/>
      <c r="B55" s="12" t="s">
        <v>88</v>
      </c>
      <c r="C55" s="13">
        <v>1</v>
      </c>
      <c r="D55" s="10" t="s">
        <v>374</v>
      </c>
      <c r="E55" s="11">
        <v>73</v>
      </c>
      <c r="F55" s="10" t="s">
        <v>370</v>
      </c>
      <c r="G55" s="11">
        <v>77</v>
      </c>
      <c r="H55" s="10" t="s">
        <v>375</v>
      </c>
      <c r="I55" s="11">
        <v>79</v>
      </c>
      <c r="J55" s="10" t="s">
        <v>349</v>
      </c>
      <c r="K55" s="11">
        <v>71</v>
      </c>
      <c r="L55" s="10" t="s">
        <v>354</v>
      </c>
      <c r="M55" s="11">
        <v>84</v>
      </c>
      <c r="N55" s="11">
        <v>76.7</v>
      </c>
    </row>
    <row r="56" spans="1:14">
      <c r="A56" s="12"/>
      <c r="B56" s="12"/>
      <c r="C56" s="5">
        <v>2</v>
      </c>
      <c r="D56" s="5" t="s">
        <v>355</v>
      </c>
      <c r="E56" s="11">
        <v>78</v>
      </c>
      <c r="F56" s="5" t="s">
        <v>376</v>
      </c>
      <c r="G56" s="11">
        <v>74</v>
      </c>
      <c r="H56" s="10" t="s">
        <v>359</v>
      </c>
      <c r="I56" s="11">
        <v>81</v>
      </c>
      <c r="J56" s="10" t="s">
        <v>377</v>
      </c>
      <c r="K56" s="11">
        <v>75</v>
      </c>
      <c r="L56" s="10" t="s">
        <v>354</v>
      </c>
      <c r="M56" s="11">
        <v>86</v>
      </c>
      <c r="N56" s="11">
        <v>78.4</v>
      </c>
    </row>
    <row r="57" ht="24" spans="1:14">
      <c r="A57" s="12"/>
      <c r="B57" s="12"/>
      <c r="C57" s="5">
        <v>3</v>
      </c>
      <c r="D57" s="5" t="s">
        <v>340</v>
      </c>
      <c r="E57" s="11">
        <v>75</v>
      </c>
      <c r="F57" s="5" t="s">
        <v>358</v>
      </c>
      <c r="G57" s="11">
        <v>82</v>
      </c>
      <c r="H57" s="5" t="s">
        <v>378</v>
      </c>
      <c r="I57" s="11">
        <v>76</v>
      </c>
      <c r="J57" s="10" t="s">
        <v>353</v>
      </c>
      <c r="K57" s="11">
        <v>70</v>
      </c>
      <c r="L57" s="10" t="s">
        <v>364</v>
      </c>
      <c r="M57" s="11">
        <v>89</v>
      </c>
      <c r="N57" s="11">
        <v>77.95</v>
      </c>
    </row>
    <row r="58" spans="1:14">
      <c r="A58" s="12"/>
      <c r="B58" s="12"/>
      <c r="C58" s="5">
        <v>4</v>
      </c>
      <c r="D58" s="5" t="s">
        <v>371</v>
      </c>
      <c r="E58" s="11">
        <v>74</v>
      </c>
      <c r="F58" s="5" t="s">
        <v>361</v>
      </c>
      <c r="G58" s="11">
        <v>80</v>
      </c>
      <c r="H58" s="10" t="s">
        <v>367</v>
      </c>
      <c r="I58" s="11">
        <v>73</v>
      </c>
      <c r="J58" s="10" t="s">
        <v>377</v>
      </c>
      <c r="K58" s="11">
        <v>77</v>
      </c>
      <c r="L58" s="10" t="s">
        <v>379</v>
      </c>
      <c r="M58" s="11">
        <v>88</v>
      </c>
      <c r="N58" s="11">
        <v>76.9</v>
      </c>
    </row>
    <row r="59" spans="1:14">
      <c r="A59" s="12"/>
      <c r="B59" s="12"/>
      <c r="C59" s="9">
        <v>5</v>
      </c>
      <c r="D59" s="5" t="s">
        <v>351</v>
      </c>
      <c r="E59" s="11">
        <v>80</v>
      </c>
      <c r="F59" s="5" t="s">
        <v>352</v>
      </c>
      <c r="G59" s="11">
        <v>77</v>
      </c>
      <c r="H59" s="10" t="s">
        <v>367</v>
      </c>
      <c r="I59" s="11">
        <v>76</v>
      </c>
      <c r="J59" s="10" t="s">
        <v>349</v>
      </c>
      <c r="K59" s="11">
        <v>72</v>
      </c>
      <c r="L59" s="10" t="s">
        <v>356</v>
      </c>
      <c r="M59" s="11">
        <v>88</v>
      </c>
      <c r="N59" s="11">
        <v>78.05</v>
      </c>
    </row>
    <row r="60" spans="1:14">
      <c r="A60" s="13"/>
      <c r="B60" s="14" t="s">
        <v>67</v>
      </c>
      <c r="C60" s="15"/>
      <c r="D60" s="16"/>
      <c r="E60" s="17">
        <v>76</v>
      </c>
      <c r="F60" s="16"/>
      <c r="G60" s="17">
        <v>78</v>
      </c>
      <c r="H60" s="16"/>
      <c r="I60" s="17">
        <v>77</v>
      </c>
      <c r="J60" s="16"/>
      <c r="K60" s="17">
        <v>73</v>
      </c>
      <c r="L60" s="16"/>
      <c r="M60" s="17">
        <v>87</v>
      </c>
      <c r="N60" s="17">
        <v>77.6</v>
      </c>
    </row>
    <row r="61" spans="1:1">
      <c r="A61" s="18"/>
    </row>
  </sheetData>
  <mergeCells count="22">
    <mergeCell ref="D23:E23"/>
    <mergeCell ref="F23:G23"/>
    <mergeCell ref="H23:I23"/>
    <mergeCell ref="J23:K23"/>
    <mergeCell ref="L23:M23"/>
    <mergeCell ref="B30:C30"/>
    <mergeCell ref="B36:C36"/>
    <mergeCell ref="B42:C42"/>
    <mergeCell ref="B48:C48"/>
    <mergeCell ref="B54:C54"/>
    <mergeCell ref="B60:C60"/>
    <mergeCell ref="A25:A36"/>
    <mergeCell ref="A37:A48"/>
    <mergeCell ref="A49:A60"/>
    <mergeCell ref="B25:B29"/>
    <mergeCell ref="B31:B35"/>
    <mergeCell ref="B37:B41"/>
    <mergeCell ref="B43:B47"/>
    <mergeCell ref="B49:B53"/>
    <mergeCell ref="B55:B59"/>
    <mergeCell ref="N23:N24"/>
    <mergeCell ref="A23:C24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菌含量及时间</vt:lpstr>
      <vt:lpstr>菌比例</vt:lpstr>
      <vt:lpstr>理化成分标准曲线</vt:lpstr>
      <vt:lpstr>GABA标曲</vt:lpstr>
      <vt:lpstr>GABA、理化成分、色差对比</vt:lpstr>
      <vt:lpstr>电子舌</vt:lpstr>
      <vt:lpstr>感官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方怡</dc:creator>
  <cp:lastModifiedBy>张丽芬</cp:lastModifiedBy>
  <dcterms:created xsi:type="dcterms:W3CDTF">2024-04-11T13:08:00Z</dcterms:created>
  <dcterms:modified xsi:type="dcterms:W3CDTF">2024-12-29T15:19:52Z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BA3F6C6D2BF84744B33C37E12D2DE671_13</vt:lpwstr>
  </property>
  <property fmtid="{D5CDD505-2E9C-101B-9397-08002B2CF9AE}" pid="3" name="KSOProductBuildVer">
    <vt:lpwstr>2052-12.1.0.19302</vt:lpwstr>
  </property>
</Properties>
</file>