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myLuo/Documents/dissertation_chapter_3/4_cline_comparisons/"/>
    </mc:Choice>
  </mc:AlternateContent>
  <xr:revisionPtr revIDLastSave="0" documentId="13_ncr:1_{AE55E35D-892F-5749-9D21-776F8C609ED2}" xr6:coauthVersionLast="47" xr6:coauthVersionMax="47" xr10:uidLastSave="{00000000-0000-0000-0000-000000000000}"/>
  <bookViews>
    <workbookView xWindow="4440" yWindow="740" windowWidth="24960" windowHeight="16980" activeTab="1" xr2:uid="{405F8ADA-EEA0-004C-BCD1-A56A1D754363}"/>
  </bookViews>
  <sheets>
    <sheet name="cline_parameters" sheetId="1" r:id="rId1"/>
    <sheet name="averag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D14" i="1"/>
  <c r="E32" i="1"/>
  <c r="D32" i="1"/>
  <c r="E31" i="1"/>
  <c r="D31" i="1"/>
  <c r="E30" i="1"/>
  <c r="D30" i="1"/>
  <c r="E29" i="1"/>
  <c r="D29" i="1"/>
  <c r="E28" i="1"/>
  <c r="D28" i="1"/>
  <c r="E27" i="1"/>
  <c r="D27" i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D20" i="1"/>
  <c r="E19" i="1"/>
  <c r="D19" i="1"/>
  <c r="E18" i="1"/>
  <c r="D18" i="1"/>
  <c r="E17" i="1"/>
  <c r="D17" i="1"/>
  <c r="E16" i="1"/>
  <c r="D16" i="1"/>
  <c r="E15" i="1"/>
  <c r="D15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  <c r="E6" i="1"/>
  <c r="D6" i="1"/>
  <c r="E5" i="1"/>
  <c r="D5" i="1"/>
  <c r="E4" i="1"/>
  <c r="D4" i="1"/>
  <c r="E3" i="1"/>
  <c r="D3" i="1"/>
  <c r="E2" i="1"/>
  <c r="D2" i="1"/>
  <c r="E33" i="1"/>
  <c r="C3" i="2" s="1"/>
  <c r="D33" i="1"/>
  <c r="B3" i="2" s="1"/>
  <c r="E34" i="1"/>
  <c r="C4" i="2" s="1"/>
  <c r="D34" i="1"/>
  <c r="B4" i="2" s="1"/>
  <c r="C2" i="2" l="1"/>
  <c r="D2" i="2"/>
  <c r="E2" i="2"/>
  <c r="B2" i="2"/>
</calcChain>
</file>

<file path=xl/sharedStrings.xml><?xml version="1.0" encoding="utf-8"?>
<sst xmlns="http://schemas.openxmlformats.org/spreadsheetml/2006/main" count="110" uniqueCount="68">
  <si>
    <t>cline</t>
  </si>
  <si>
    <t>center</t>
  </si>
  <si>
    <t>width</t>
  </si>
  <si>
    <t>Q value</t>
  </si>
  <si>
    <t>SNP</t>
  </si>
  <si>
    <t>type</t>
  </si>
  <si>
    <t>Q</t>
  </si>
  <si>
    <t>whistle length</t>
  </si>
  <si>
    <t>song traits</t>
  </si>
  <si>
    <t>center se</t>
  </si>
  <si>
    <t>width se</t>
  </si>
  <si>
    <t>65245:75:+.B</t>
  </si>
  <si>
    <t>CM054064.2</t>
  </si>
  <si>
    <t>CM054065.2</t>
  </si>
  <si>
    <t>CM054066.2</t>
  </si>
  <si>
    <t>CM054067.2</t>
  </si>
  <si>
    <t>CM054068.2</t>
  </si>
  <si>
    <t>CM054069.2</t>
  </si>
  <si>
    <t>CM054072.2</t>
  </si>
  <si>
    <t>CM054077.2</t>
  </si>
  <si>
    <t>CM054080.2</t>
  </si>
  <si>
    <t>CM054082.2</t>
  </si>
  <si>
    <t>CM054083.2</t>
  </si>
  <si>
    <t>CM054087.2</t>
  </si>
  <si>
    <t>CM054093.2</t>
  </si>
  <si>
    <t>GenBank accession</t>
  </si>
  <si>
    <t>118294:11:-.B</t>
  </si>
  <si>
    <t>138865:9:-.B</t>
  </si>
  <si>
    <t>234210:88:+.A</t>
  </si>
  <si>
    <t>236422:55:-.A</t>
  </si>
  <si>
    <t>280510:74:+.B</t>
  </si>
  <si>
    <t>312313:39:+.A</t>
  </si>
  <si>
    <t>372017:73:-.A</t>
  </si>
  <si>
    <t>406169:5:+.A</t>
  </si>
  <si>
    <t>410941:16:+.B</t>
  </si>
  <si>
    <t>551821:48:-.A</t>
  </si>
  <si>
    <t>554964:27:+.A</t>
  </si>
  <si>
    <t>698062:10:+.A</t>
  </si>
  <si>
    <t>803461:56:-.B</t>
  </si>
  <si>
    <t>849517:64:-.A</t>
  </si>
  <si>
    <t>866442:56:+.A</t>
  </si>
  <si>
    <t>944024:19:-.B</t>
  </si>
  <si>
    <t>1056056:36:-.A</t>
  </si>
  <si>
    <t>1063031:72:-.B</t>
  </si>
  <si>
    <t>JAPPSN020000038.1</t>
  </si>
  <si>
    <t>JAPPSN020000053.1</t>
  </si>
  <si>
    <t>JAPPSN020000095.1</t>
  </si>
  <si>
    <t>JAPPSN020000172.1</t>
  </si>
  <si>
    <t>JAPPSN020000190.1</t>
  </si>
  <si>
    <t>JAPPSN020000206.1</t>
  </si>
  <si>
    <t>JAPPSN020000266.1</t>
  </si>
  <si>
    <t>JAPPSN020000347.1</t>
  </si>
  <si>
    <t>JAPPSN020000514.1</t>
  </si>
  <si>
    <t>JAPPSN020000937.1</t>
  </si>
  <si>
    <t>JAPPSN020000952.1</t>
  </si>
  <si>
    <t>JAPPSN020000999.1</t>
  </si>
  <si>
    <t>1063437:71:+.A</t>
  </si>
  <si>
    <t>1065768:52:+.A</t>
  </si>
  <si>
    <t>1070914:77:-.A</t>
  </si>
  <si>
    <t>1079224:19:+.B</t>
  </si>
  <si>
    <t>1081126:5:-.B</t>
  </si>
  <si>
    <t>1082733:50:-.A</t>
  </si>
  <si>
    <t>1087499:54:+.A</t>
  </si>
  <si>
    <t>1092211:25:-.B</t>
  </si>
  <si>
    <t>1098096:84:-.A</t>
  </si>
  <si>
    <t>1105005:47:+.B</t>
  </si>
  <si>
    <t>1108658:32:-.A</t>
  </si>
  <si>
    <t>1104824:5:+.A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</si>
</sst>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E6033-6BA9-2D41-85C8-609FB823935C}">
  <dimension ref="A1:E34"/>
  <sheetViews>
    <sheetView workbookViewId="0">
      <selection activeCell="A35" sqref="A35:XFD35"/>
    </sheetView>
  </sheetViews>
  <sheetFormatPr baseColWidth="10" defaultRowHeight="16" x14ac:dyDescent="0.2"/>
  <cols>
    <col min="1" max="1" width="17.83203125" bestFit="1" customWidth="1"/>
    <col min="2" max="2" width="17.83203125" customWidth="1"/>
    <col min="3" max="3" width="31.5" bestFit="1" customWidth="1"/>
    <col min="4" max="5" width="12.1640625" bestFit="1" customWidth="1"/>
  </cols>
  <sheetData>
    <row r="1" spans="1:5" x14ac:dyDescent="0.2">
      <c r="A1" t="s">
        <v>5</v>
      </c>
      <c r="B1" t="s">
        <v>25</v>
      </c>
      <c r="C1" t="s">
        <v>0</v>
      </c>
      <c r="D1" t="s">
        <v>1</v>
      </c>
      <c r="E1" t="s">
        <v>2</v>
      </c>
    </row>
    <row r="2" spans="1:5" x14ac:dyDescent="0.2">
      <c r="A2" t="s">
        <v>4</v>
      </c>
      <c r="B2" t="s">
        <v>12</v>
      </c>
      <c r="C2" t="s">
        <v>11</v>
      </c>
      <c r="D2">
        <f>AVERAGE(1301.8796139, 1302.0136918, 1302.5005658)</f>
        <v>1302.1312905000002</v>
      </c>
      <c r="E2">
        <f>AVERAGE(1113.7223713, 1112.2241858, 1111.8408248)</f>
        <v>1112.5957939666666</v>
      </c>
    </row>
    <row r="3" spans="1:5" x14ac:dyDescent="0.2">
      <c r="A3" t="s">
        <v>4</v>
      </c>
      <c r="B3" t="s">
        <v>13</v>
      </c>
      <c r="C3" t="s">
        <v>26</v>
      </c>
      <c r="D3">
        <f>AVERAGE(1217.30572, 1217.26274, 1216.96739)</f>
        <v>1217.1786166666668</v>
      </c>
      <c r="E3">
        <f>AVERAGE(1203.38639, 1200.31578, 1199.63928)</f>
        <v>1201.1138166666667</v>
      </c>
    </row>
    <row r="4" spans="1:5" x14ac:dyDescent="0.2">
      <c r="A4" t="s">
        <v>4</v>
      </c>
      <c r="B4" t="s">
        <v>13</v>
      </c>
      <c r="C4" t="s">
        <v>27</v>
      </c>
      <c r="D4">
        <f>AVERAGE(1282.3988, 1281.9848, 1282.19989)</f>
        <v>1282.1944966666667</v>
      </c>
      <c r="E4">
        <f>AVERAGE(956.15872, 954.0121, 954.74922)</f>
        <v>954.97334666666666</v>
      </c>
    </row>
    <row r="5" spans="1:5" x14ac:dyDescent="0.2">
      <c r="A5" t="s">
        <v>4</v>
      </c>
      <c r="B5" t="s">
        <v>14</v>
      </c>
      <c r="C5" t="s">
        <v>28</v>
      </c>
      <c r="D5">
        <f>AVERAGE(763.15308, 762.9983, 763.16461)</f>
        <v>763.10532999999998</v>
      </c>
      <c r="E5">
        <f>-AVERAGE(1193.73137, 1191.2723, 1192.44605)</f>
        <v>-1192.48324</v>
      </c>
    </row>
    <row r="6" spans="1:5" x14ac:dyDescent="0.2">
      <c r="A6" t="s">
        <v>4</v>
      </c>
      <c r="B6" t="s">
        <v>14</v>
      </c>
      <c r="C6" t="s">
        <v>29</v>
      </c>
      <c r="D6">
        <f>AVERAGE(845.39258, 845.42712, 845.58267)</f>
        <v>845.46745666666664</v>
      </c>
      <c r="E6">
        <f>AVERAGE(1137.29165, 1134.03732, 1136.46923)</f>
        <v>1135.9327333333331</v>
      </c>
    </row>
    <row r="7" spans="1:5" x14ac:dyDescent="0.2">
      <c r="A7" t="s">
        <v>4</v>
      </c>
      <c r="B7" t="s">
        <v>15</v>
      </c>
      <c r="C7" t="s">
        <v>30</v>
      </c>
      <c r="D7">
        <f>AVERAGE(1217.5918275, 1217.0371971, 1217.135764)</f>
        <v>1217.2549295333333</v>
      </c>
      <c r="E7">
        <f>AVERAGE(554.8203219, 548.7882074, 552.058718)</f>
        <v>551.88908243333333</v>
      </c>
    </row>
    <row r="8" spans="1:5" x14ac:dyDescent="0.2">
      <c r="A8" t="s">
        <v>4</v>
      </c>
      <c r="B8" t="s">
        <v>15</v>
      </c>
      <c r="C8" t="s">
        <v>31</v>
      </c>
      <c r="D8">
        <f>AVERAGE(752.5269499, 751.5835914, 752.9752298)</f>
        <v>752.36192369999992</v>
      </c>
      <c r="E8">
        <f>AVERAGE(1134.9794299, 1136.0191685, 1135.7551098)</f>
        <v>1135.5845694</v>
      </c>
    </row>
    <row r="9" spans="1:5" x14ac:dyDescent="0.2">
      <c r="A9" t="s">
        <v>4</v>
      </c>
      <c r="B9" t="s">
        <v>16</v>
      </c>
      <c r="C9" t="s">
        <v>32</v>
      </c>
      <c r="D9">
        <f>AVERAGE(685.8879669, 686.1284989, 685.1337291)</f>
        <v>685.71673163333332</v>
      </c>
      <c r="E9">
        <f>AVERAGE(849.1917384, 846.5878912, 849.562875)</f>
        <v>848.44750153333325</v>
      </c>
    </row>
    <row r="10" spans="1:5" x14ac:dyDescent="0.2">
      <c r="A10" t="s">
        <v>4</v>
      </c>
      <c r="B10" t="s">
        <v>17</v>
      </c>
      <c r="C10" t="s">
        <v>33</v>
      </c>
      <c r="D10">
        <f>AVERAGE(843.7892811, 843.80861, 843.2717809)</f>
        <v>843.62322400000005</v>
      </c>
      <c r="E10">
        <f>AVERAGE(490.9723971, 489.6702315, 491.2119232)</f>
        <v>490.61818393333334</v>
      </c>
    </row>
    <row r="11" spans="1:5" x14ac:dyDescent="0.2">
      <c r="A11" t="s">
        <v>4</v>
      </c>
      <c r="B11" t="s">
        <v>17</v>
      </c>
      <c r="C11" t="s">
        <v>34</v>
      </c>
      <c r="D11">
        <f>AVERAGE(1238.2223022, 1236.946694, 1236.991324)</f>
        <v>1237.3867734</v>
      </c>
      <c r="E11">
        <f>AVERAGE(906.7874376, 900.088858, 900.3317394)</f>
        <v>902.40267833333337</v>
      </c>
    </row>
    <row r="12" spans="1:5" x14ac:dyDescent="0.2">
      <c r="A12" t="s">
        <v>4</v>
      </c>
      <c r="B12" t="s">
        <v>18</v>
      </c>
      <c r="C12" t="s">
        <v>35</v>
      </c>
      <c r="D12">
        <f>AVERAGE(720.942825, 719.219666, 720.118191)</f>
        <v>720.09356066666669</v>
      </c>
      <c r="E12">
        <f>AVERAGE(1048.345956, 1047.9891398, 1049.2792244)</f>
        <v>1048.5381067333335</v>
      </c>
    </row>
    <row r="13" spans="1:5" x14ac:dyDescent="0.2">
      <c r="A13" t="s">
        <v>4</v>
      </c>
      <c r="B13" t="s">
        <v>18</v>
      </c>
      <c r="C13" t="s">
        <v>36</v>
      </c>
      <c r="D13">
        <f>AVERAGE(838.2529196, 838.6150633, 838.8631931)</f>
        <v>838.57705866666674</v>
      </c>
      <c r="E13">
        <f>AVERAGE(891.3228683, 887.3193475, 889.4192056)</f>
        <v>889.35380713333336</v>
      </c>
    </row>
    <row r="14" spans="1:5" x14ac:dyDescent="0.2">
      <c r="A14" t="s">
        <v>4</v>
      </c>
      <c r="B14" t="s">
        <v>19</v>
      </c>
      <c r="C14" t="s">
        <v>37</v>
      </c>
      <c r="D14">
        <f>AVERAGE(960.592094, 959.5249841, 960.01199)</f>
        <v>960.04302270000005</v>
      </c>
      <c r="E14">
        <f>AVERAGE(792.0689582, 793.3635554, 798.61121)</f>
        <v>794.68124119999993</v>
      </c>
    </row>
    <row r="15" spans="1:5" x14ac:dyDescent="0.2">
      <c r="A15" t="s">
        <v>4</v>
      </c>
      <c r="B15" t="s">
        <v>20</v>
      </c>
      <c r="C15" t="s">
        <v>38</v>
      </c>
      <c r="D15">
        <f>AVERAGE(1284.2994, 1283.27956, 1283.82021)</f>
        <v>1283.7997233333333</v>
      </c>
      <c r="E15">
        <f>AVERAGE(1034.76388, 1031.25119, 1032.97224)</f>
        <v>1032.99577</v>
      </c>
    </row>
    <row r="16" spans="1:5" x14ac:dyDescent="0.2">
      <c r="A16" t="s">
        <v>4</v>
      </c>
      <c r="B16" t="s">
        <v>21</v>
      </c>
      <c r="C16" t="s">
        <v>39</v>
      </c>
      <c r="D16">
        <f>AVERAGE(647.49826, 647.08486, 646.87007)</f>
        <v>647.15106333333335</v>
      </c>
      <c r="E16">
        <f>AVERAGE(636.96784, 635.42859, 636.70777)</f>
        <v>636.36806666666666</v>
      </c>
    </row>
    <row r="17" spans="1:5" x14ac:dyDescent="0.2">
      <c r="A17" t="s">
        <v>4</v>
      </c>
      <c r="B17" t="s">
        <v>22</v>
      </c>
      <c r="C17" t="s">
        <v>40</v>
      </c>
      <c r="D17">
        <f>AVERAGE(806.4533381, 810.9536653, 808.9799259)</f>
        <v>808.79564310000012</v>
      </c>
      <c r="E17">
        <f>AVERAGE(883.4891751, 866.8020591, 875.1586884)</f>
        <v>875.14997419999997</v>
      </c>
    </row>
    <row r="18" spans="1:5" x14ac:dyDescent="0.2">
      <c r="A18" t="s">
        <v>4</v>
      </c>
      <c r="B18" t="s">
        <v>23</v>
      </c>
      <c r="C18" t="s">
        <v>41</v>
      </c>
      <c r="D18">
        <f>AVERAGE(1303.4923341, 1303.5809101, 1304.2098035)</f>
        <v>1303.7610158999998</v>
      </c>
      <c r="E18">
        <f>AVERAGE(1060.5156592, 1057.5681615, 1063.0454815)</f>
        <v>1060.3764340666667</v>
      </c>
    </row>
    <row r="19" spans="1:5" x14ac:dyDescent="0.2">
      <c r="A19" t="s">
        <v>4</v>
      </c>
      <c r="B19" t="s">
        <v>24</v>
      </c>
      <c r="C19" t="s">
        <v>42</v>
      </c>
      <c r="D19">
        <f>AVERAGE(865.951682, 867.6011109, 864.721318)</f>
        <v>866.09137029999999</v>
      </c>
      <c r="E19">
        <f>AVERAGE(802.9687445, 794.6761419, 805.271494)</f>
        <v>800.97212679999996</v>
      </c>
    </row>
    <row r="20" spans="1:5" x14ac:dyDescent="0.2">
      <c r="A20" t="s">
        <v>4</v>
      </c>
      <c r="B20" t="s">
        <v>44</v>
      </c>
      <c r="C20" t="s">
        <v>43</v>
      </c>
      <c r="D20">
        <f>AVERAGE(1300.16692, 1300.5322, 1300.15937)</f>
        <v>1300.2861633333334</v>
      </c>
      <c r="E20">
        <f>AVERAGE(897.44323, 894.5581, 894.35402)</f>
        <v>895.45178333333331</v>
      </c>
    </row>
    <row r="21" spans="1:5" x14ac:dyDescent="0.2">
      <c r="A21" t="s">
        <v>4</v>
      </c>
      <c r="B21" t="s">
        <v>44</v>
      </c>
      <c r="C21" t="s">
        <v>56</v>
      </c>
      <c r="D21">
        <f>AVERAGE(1040.95468176, 1041.8244817, 1041.37573808)</f>
        <v>1041.3849671799999</v>
      </c>
      <c r="E21">
        <f>AVERAGE(619.19168885, 612.45083549, 617.19845252)</f>
        <v>616.28032561999999</v>
      </c>
    </row>
    <row r="22" spans="1:5" x14ac:dyDescent="0.2">
      <c r="A22" t="s">
        <v>4</v>
      </c>
      <c r="B22" t="s">
        <v>45</v>
      </c>
      <c r="C22" t="s">
        <v>57</v>
      </c>
      <c r="D22">
        <f>AVERAGE(1137.1540268, 1137.0684253, 1137.1657991)</f>
        <v>1137.1294170666667</v>
      </c>
      <c r="E22">
        <f>AVERAGE(441.7243913, 436.7939123, 441.8686349)</f>
        <v>440.12897950000001</v>
      </c>
    </row>
    <row r="23" spans="1:5" x14ac:dyDescent="0.2">
      <c r="A23" t="s">
        <v>4</v>
      </c>
      <c r="B23" t="s">
        <v>46</v>
      </c>
      <c r="C23" t="s">
        <v>58</v>
      </c>
      <c r="D23">
        <f>AVERAGE(966.5949114, 967.1047418, 966.528158)</f>
        <v>966.74260373333334</v>
      </c>
      <c r="E23">
        <f>AVERAGE(895.8734583, 890.2967195, 894.41212)</f>
        <v>893.5274326</v>
      </c>
    </row>
    <row r="24" spans="1:5" x14ac:dyDescent="0.2">
      <c r="A24" t="s">
        <v>4</v>
      </c>
      <c r="B24" t="s">
        <v>47</v>
      </c>
      <c r="C24" t="s">
        <v>59</v>
      </c>
      <c r="D24">
        <f>AVERAGE(1112.5034152, 1112.2290626, 1112.4375516)</f>
        <v>1112.3900098000001</v>
      </c>
      <c r="E24">
        <f>AVERAGE(516.0770148, 513.1319388, 513.9260444)</f>
        <v>514.37833266666667</v>
      </c>
    </row>
    <row r="25" spans="1:5" x14ac:dyDescent="0.2">
      <c r="A25" t="s">
        <v>4</v>
      </c>
      <c r="B25" t="s">
        <v>48</v>
      </c>
      <c r="C25" t="s">
        <v>60</v>
      </c>
      <c r="D25">
        <f>AVERAGE(1061.6766176, 1061.3911722, 1061.230484)</f>
        <v>1061.4327579333333</v>
      </c>
      <c r="E25">
        <f>AVERAGE(732.5967146, 728.206828, 731.633927)</f>
        <v>730.81248986666662</v>
      </c>
    </row>
    <row r="26" spans="1:5" x14ac:dyDescent="0.2">
      <c r="A26" t="s">
        <v>4</v>
      </c>
      <c r="B26" t="s">
        <v>49</v>
      </c>
      <c r="C26" t="s">
        <v>61</v>
      </c>
      <c r="D26">
        <f>AVERAGE(1145.555722, 1145.1452095, 1145.5494811)</f>
        <v>1145.4168042000001</v>
      </c>
      <c r="E26">
        <f>AVERAGE(579.585514, 574.8167417, 576.7854563)</f>
        <v>577.0625706666666</v>
      </c>
    </row>
    <row r="27" spans="1:5" x14ac:dyDescent="0.2">
      <c r="A27" t="s">
        <v>4</v>
      </c>
      <c r="B27" t="s">
        <v>50</v>
      </c>
      <c r="C27" t="s">
        <v>62</v>
      </c>
      <c r="D27">
        <f>AVERAGE(1033.1730417, 1033.7025531, 1033.4352694)</f>
        <v>1033.4369547333333</v>
      </c>
      <c r="E27">
        <f>AVERAGE(787.4477678, 781.8224072, 785.7186928)</f>
        <v>784.99628926666674</v>
      </c>
    </row>
    <row r="28" spans="1:5" x14ac:dyDescent="0.2">
      <c r="A28" t="s">
        <v>4</v>
      </c>
      <c r="B28" t="s">
        <v>51</v>
      </c>
      <c r="C28" t="s">
        <v>63</v>
      </c>
      <c r="D28">
        <f>AVERAGE(1018.9512548, 1018.9817449, 1019.0844881)</f>
        <v>1019.0058292666666</v>
      </c>
      <c r="E28">
        <f>AVERAGE(896.3301596, 892.2877956, 891.3977484)</f>
        <v>893.33856786666672</v>
      </c>
    </row>
    <row r="29" spans="1:5" x14ac:dyDescent="0.2">
      <c r="A29" t="s">
        <v>4</v>
      </c>
      <c r="B29" t="s">
        <v>52</v>
      </c>
      <c r="C29" t="s">
        <v>64</v>
      </c>
      <c r="D29">
        <f>AVERAGE(901.1877318, 900.7209772, 900.3208719)</f>
        <v>900.74319363333336</v>
      </c>
      <c r="E29">
        <f>AVERAGE(904.5809139, 903.6582528, 905.799031)</f>
        <v>904.67939923333336</v>
      </c>
    </row>
    <row r="30" spans="1:5" x14ac:dyDescent="0.2">
      <c r="A30" t="s">
        <v>4</v>
      </c>
      <c r="B30" t="s">
        <v>53</v>
      </c>
      <c r="C30" t="s">
        <v>67</v>
      </c>
      <c r="D30">
        <f>AVERAGE(998.5924865, 999.938919, 999.3548426)</f>
        <v>999.29541603333325</v>
      </c>
      <c r="E30">
        <f>AVERAGE(840.674369, 828.1970765, 833.2371905)</f>
        <v>834.03621199999998</v>
      </c>
    </row>
    <row r="31" spans="1:5" x14ac:dyDescent="0.2">
      <c r="A31" t="s">
        <v>4</v>
      </c>
      <c r="B31" t="s">
        <v>54</v>
      </c>
      <c r="C31" t="s">
        <v>65</v>
      </c>
      <c r="D31">
        <f>AVERAGE(1207.7797907, 1207.1938675, 1207.3592746)</f>
        <v>1207.4443109333331</v>
      </c>
      <c r="E31">
        <f>AVERAGE(583.8370065, 580.8696298, 581.2102647)</f>
        <v>581.97230033333335</v>
      </c>
    </row>
    <row r="32" spans="1:5" x14ac:dyDescent="0.2">
      <c r="A32" t="s">
        <v>4</v>
      </c>
      <c r="B32" t="s">
        <v>55</v>
      </c>
      <c r="C32" t="s">
        <v>66</v>
      </c>
      <c r="D32">
        <f>AVERAGE(891.0136328, 891.5752488, 891.4289753)</f>
        <v>891.33928563333336</v>
      </c>
      <c r="E32">
        <f>AVERAGE(396.744532, 394.0034119, 395.1899043)</f>
        <v>395.31261606666664</v>
      </c>
    </row>
    <row r="33" spans="1:5" x14ac:dyDescent="0.2">
      <c r="A33" t="s">
        <v>3</v>
      </c>
      <c r="C33" t="s">
        <v>3</v>
      </c>
      <c r="D33">
        <f>AVERAGE(992.1553, 991.7558,  991.7413)</f>
        <v>991.88413333333335</v>
      </c>
      <c r="E33">
        <f>AVERAGE(28.71, 28.38247, 28.40378)</f>
        <v>28.498750000000001</v>
      </c>
    </row>
    <row r="34" spans="1:5" x14ac:dyDescent="0.2">
      <c r="A34" t="s">
        <v>8</v>
      </c>
      <c r="C34" t="s">
        <v>7</v>
      </c>
      <c r="D34">
        <f>AVERAGE(987.1574, 987.135, 997.2676)</f>
        <v>990.52</v>
      </c>
      <c r="E34">
        <f>AVERAGE(46.29097, 46.78147, 38.50955)</f>
        <v>43.860663333333328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2E2A1-2648-1F4D-BEA2-580B37349741}">
  <dimension ref="A1:E4"/>
  <sheetViews>
    <sheetView tabSelected="1" workbookViewId="0">
      <selection activeCell="A5" sqref="A5:XFD5"/>
    </sheetView>
  </sheetViews>
  <sheetFormatPr baseColWidth="10" defaultRowHeight="16" x14ac:dyDescent="0.2"/>
  <cols>
    <col min="1" max="1" width="17.83203125" bestFit="1" customWidth="1"/>
  </cols>
  <sheetData>
    <row r="1" spans="1:5" x14ac:dyDescent="0.2">
      <c r="A1" t="s">
        <v>5</v>
      </c>
      <c r="B1" t="s">
        <v>1</v>
      </c>
      <c r="C1" t="s">
        <v>2</v>
      </c>
      <c r="D1" t="s">
        <v>9</v>
      </c>
      <c r="E1" t="s">
        <v>10</v>
      </c>
    </row>
    <row r="2" spans="1:5" x14ac:dyDescent="0.2">
      <c r="A2" t="s">
        <v>4</v>
      </c>
      <c r="B2">
        <f>AVERAGE(cline_parameters!D2:D32)</f>
        <v>1012.6058369111827</v>
      </c>
      <c r="C2">
        <f>AVERAGE(cline_parameters!E2:E32)</f>
        <v>752.95120297053757</v>
      </c>
      <c r="D2">
        <f>STDEV(cline_parameters!D2:D32)/SQRT(31)</f>
        <v>36.72899073871578</v>
      </c>
      <c r="E2">
        <f>STDEV(cline_parameters!E2:E32)/SQRT(31)</f>
        <v>75.870636739516499</v>
      </c>
    </row>
    <row r="3" spans="1:5" x14ac:dyDescent="0.2">
      <c r="A3" t="s">
        <v>6</v>
      </c>
      <c r="B3">
        <f>cline_parameters!D33</f>
        <v>991.88413333333335</v>
      </c>
      <c r="C3">
        <f>cline_parameters!E33</f>
        <v>28.498750000000001</v>
      </c>
    </row>
    <row r="4" spans="1:5" x14ac:dyDescent="0.2">
      <c r="A4" t="s">
        <v>8</v>
      </c>
      <c r="B4">
        <f>cline_parameters!D34</f>
        <v>990.52</v>
      </c>
      <c r="C4">
        <f>cline_parameters!E34</f>
        <v>43.860663333333328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cline_parameters</vt:lpstr>
      <vt:lpstr>averages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Luo, Amy Rongyan</dc:creator>
  <cp:lastModifiedBy>amy.luo.15@gmail.com</cp:lastModifiedBy>
  <dcterms:created xsi:type="dcterms:W3CDTF">2023-11-15T02:21:06Z</dcterms:created>
  <dcterms:modified xsi:type="dcterms:W3CDTF">2025-04-03T17:35:56Z</dcterms:modified>
</cp:coreProperties>
</file>