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Admin\Desktop\Raw_Data_P.graveolens\"/>
    </mc:Choice>
  </mc:AlternateContent>
  <xr:revisionPtr revIDLastSave="0" documentId="8_{5CA3D604-369C-4540-AB51-A7EE9F8F67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lastase" sheetId="3" r:id="rId1"/>
    <sheet name="Collagenase" sheetId="5" r:id="rId2"/>
    <sheet name="Tyrosinase" sheetId="6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6" l="1"/>
  <c r="I97" i="6"/>
  <c r="I93" i="6"/>
  <c r="I99" i="6" l="1"/>
  <c r="I98" i="6"/>
  <c r="I13" i="6"/>
  <c r="I9" i="6"/>
  <c r="E9" i="6"/>
  <c r="I18" i="6"/>
  <c r="I17" i="6"/>
  <c r="D13" i="6"/>
  <c r="I77" i="6"/>
  <c r="I73" i="6"/>
  <c r="I69" i="6"/>
  <c r="I79" i="6"/>
  <c r="I78" i="6"/>
  <c r="I59" i="6"/>
  <c r="I58" i="6"/>
  <c r="I57" i="6"/>
  <c r="I53" i="6"/>
  <c r="I49" i="6"/>
  <c r="I37" i="6"/>
  <c r="I39" i="6"/>
  <c r="I38" i="6"/>
  <c r="I33" i="6"/>
  <c r="I29" i="6"/>
  <c r="I19" i="6"/>
  <c r="H91" i="5"/>
  <c r="H90" i="5"/>
  <c r="H89" i="5"/>
  <c r="H85" i="5"/>
  <c r="H81" i="5"/>
  <c r="H73" i="5"/>
  <c r="H72" i="5"/>
  <c r="H71" i="5"/>
  <c r="H67" i="5"/>
  <c r="H63" i="5"/>
  <c r="H55" i="5"/>
  <c r="H54" i="5"/>
  <c r="H53" i="5"/>
  <c r="H49" i="5"/>
  <c r="H45" i="5"/>
  <c r="H37" i="5"/>
  <c r="H36" i="5"/>
  <c r="H35" i="5"/>
  <c r="H31" i="5"/>
  <c r="H27" i="5"/>
  <c r="H19" i="5"/>
  <c r="H18" i="5"/>
  <c r="H17" i="5"/>
  <c r="H13" i="5"/>
  <c r="H9" i="5"/>
  <c r="H91" i="3"/>
  <c r="H90" i="3"/>
  <c r="H89" i="3"/>
  <c r="H85" i="3"/>
  <c r="H81" i="3"/>
  <c r="H73" i="3"/>
  <c r="H72" i="3"/>
  <c r="H71" i="3"/>
  <c r="H67" i="3"/>
  <c r="H63" i="3"/>
  <c r="H55" i="3"/>
  <c r="H54" i="3"/>
  <c r="H53" i="3"/>
  <c r="H49" i="3"/>
  <c r="H45" i="3"/>
  <c r="H36" i="3"/>
  <c r="H37" i="3"/>
  <c r="H35" i="3"/>
  <c r="H31" i="3"/>
  <c r="H27" i="3"/>
  <c r="H19" i="3"/>
  <c r="H18" i="3"/>
  <c r="H17" i="3"/>
  <c r="H13" i="3"/>
  <c r="H9" i="3"/>
  <c r="C91" i="3"/>
  <c r="D91" i="3"/>
  <c r="E91" i="3"/>
  <c r="F91" i="3"/>
  <c r="B91" i="3"/>
  <c r="C90" i="3"/>
  <c r="D90" i="3"/>
  <c r="E90" i="3"/>
  <c r="F90" i="3"/>
  <c r="B90" i="3"/>
  <c r="D89" i="3"/>
  <c r="E89" i="3"/>
  <c r="F89" i="3"/>
  <c r="B89" i="3"/>
  <c r="C88" i="3"/>
  <c r="C89" i="3" s="1"/>
  <c r="D88" i="3"/>
  <c r="E88" i="3"/>
  <c r="F88" i="3"/>
  <c r="B88" i="3"/>
  <c r="C73" i="3"/>
  <c r="D73" i="3"/>
  <c r="E73" i="3"/>
  <c r="F73" i="3"/>
  <c r="B73" i="3"/>
  <c r="C72" i="3"/>
  <c r="D72" i="3"/>
  <c r="E72" i="3"/>
  <c r="F72" i="3"/>
  <c r="B72" i="3"/>
  <c r="D66" i="3"/>
  <c r="D70" i="3"/>
  <c r="D71" i="3"/>
  <c r="D67" i="3"/>
  <c r="C55" i="3"/>
  <c r="D55" i="3"/>
  <c r="E55" i="3"/>
  <c r="F55" i="3"/>
  <c r="B55" i="3"/>
  <c r="C54" i="3"/>
  <c r="D54" i="3"/>
  <c r="E54" i="3"/>
  <c r="F54" i="3"/>
  <c r="B54" i="3"/>
  <c r="E37" i="3"/>
  <c r="F37" i="3"/>
  <c r="B37" i="3"/>
  <c r="E36" i="3"/>
  <c r="F36" i="3"/>
  <c r="B36" i="3"/>
  <c r="C91" i="5"/>
  <c r="D91" i="5"/>
  <c r="E91" i="5"/>
  <c r="F91" i="5"/>
  <c r="B91" i="5"/>
  <c r="C90" i="5"/>
  <c r="D90" i="5"/>
  <c r="E90" i="5"/>
  <c r="F90" i="5"/>
  <c r="B90" i="5"/>
  <c r="C73" i="5"/>
  <c r="D73" i="5"/>
  <c r="E73" i="5"/>
  <c r="F73" i="5"/>
  <c r="B73" i="5"/>
  <c r="C72" i="5"/>
  <c r="D72" i="5"/>
  <c r="E72" i="5"/>
  <c r="F72" i="5"/>
  <c r="B72" i="5"/>
  <c r="F55" i="5"/>
  <c r="C55" i="5"/>
  <c r="D55" i="5"/>
  <c r="E55" i="5"/>
  <c r="B55" i="5"/>
  <c r="C54" i="5"/>
  <c r="D54" i="5"/>
  <c r="E54" i="5"/>
  <c r="F54" i="5"/>
  <c r="B54" i="5"/>
  <c r="F34" i="5"/>
  <c r="C37" i="5"/>
  <c r="D37" i="5"/>
  <c r="C36" i="5"/>
  <c r="D36" i="5"/>
  <c r="C19" i="5"/>
  <c r="D19" i="5"/>
  <c r="E19" i="5"/>
  <c r="F19" i="5"/>
  <c r="B19" i="5"/>
  <c r="C18" i="5"/>
  <c r="D18" i="5"/>
  <c r="E18" i="5"/>
  <c r="F18" i="5"/>
  <c r="B18" i="5"/>
  <c r="C79" i="6"/>
  <c r="D79" i="6"/>
  <c r="E79" i="6"/>
  <c r="G79" i="6"/>
  <c r="B79" i="6"/>
  <c r="C78" i="6"/>
  <c r="D78" i="6"/>
  <c r="E78" i="6"/>
  <c r="G78" i="6"/>
  <c r="B78" i="6"/>
  <c r="C59" i="6"/>
  <c r="D59" i="6"/>
  <c r="E59" i="6"/>
  <c r="F59" i="6"/>
  <c r="G59" i="6"/>
  <c r="B59" i="6"/>
  <c r="C58" i="6"/>
  <c r="D58" i="6"/>
  <c r="E58" i="6"/>
  <c r="F58" i="6"/>
  <c r="G58" i="6"/>
  <c r="B58" i="6"/>
  <c r="C38" i="6"/>
  <c r="B38" i="6"/>
  <c r="C39" i="6"/>
  <c r="B39" i="6"/>
  <c r="D36" i="6"/>
  <c r="D37" i="6" s="1"/>
  <c r="D28" i="6"/>
  <c r="D29" i="6" s="1"/>
  <c r="D32" i="6"/>
  <c r="D33" i="6" s="1"/>
  <c r="C97" i="6"/>
  <c r="C99" i="6" s="1"/>
  <c r="C96" i="6"/>
  <c r="D96" i="6"/>
  <c r="D97" i="6" s="1"/>
  <c r="E96" i="6"/>
  <c r="E97" i="6" s="1"/>
  <c r="F96" i="6"/>
  <c r="F97" i="6" s="1"/>
  <c r="G96" i="6"/>
  <c r="G97" i="6" s="1"/>
  <c r="B96" i="6"/>
  <c r="B97" i="6" s="1"/>
  <c r="C93" i="6"/>
  <c r="G93" i="6"/>
  <c r="B93" i="6"/>
  <c r="C92" i="6"/>
  <c r="D92" i="6"/>
  <c r="D93" i="6" s="1"/>
  <c r="E92" i="6"/>
  <c r="E93" i="6" s="1"/>
  <c r="F92" i="6"/>
  <c r="F93" i="6" s="1"/>
  <c r="G92" i="6"/>
  <c r="B92" i="6"/>
  <c r="G88" i="6"/>
  <c r="G89" i="6" s="1"/>
  <c r="E88" i="6"/>
  <c r="E89" i="6" s="1"/>
  <c r="D88" i="6"/>
  <c r="B88" i="6"/>
  <c r="B89" i="6" s="1"/>
  <c r="F88" i="6"/>
  <c r="C88" i="6"/>
  <c r="E84" i="6"/>
  <c r="D77" i="6"/>
  <c r="E77" i="6"/>
  <c r="B77" i="6"/>
  <c r="C76" i="6"/>
  <c r="D76" i="6"/>
  <c r="E76" i="6"/>
  <c r="F76" i="6"/>
  <c r="G76" i="6"/>
  <c r="B76" i="6"/>
  <c r="D73" i="6"/>
  <c r="E73" i="6"/>
  <c r="B73" i="6"/>
  <c r="C72" i="6"/>
  <c r="D72" i="6"/>
  <c r="E72" i="6"/>
  <c r="F72" i="6"/>
  <c r="G72" i="6"/>
  <c r="B72" i="6"/>
  <c r="D69" i="6"/>
  <c r="E69" i="6"/>
  <c r="B69" i="6"/>
  <c r="C68" i="6"/>
  <c r="D68" i="6"/>
  <c r="E68" i="6"/>
  <c r="F68" i="6"/>
  <c r="G68" i="6"/>
  <c r="B68" i="6"/>
  <c r="E64" i="6"/>
  <c r="C57" i="6"/>
  <c r="D57" i="6"/>
  <c r="B57" i="6"/>
  <c r="C56" i="6"/>
  <c r="D56" i="6"/>
  <c r="G56" i="6"/>
  <c r="G57" i="6" s="1"/>
  <c r="C52" i="6"/>
  <c r="D52" i="6"/>
  <c r="E52" i="6"/>
  <c r="F52" i="6"/>
  <c r="F53" i="6" s="1"/>
  <c r="G52" i="6"/>
  <c r="E53" i="6"/>
  <c r="G53" i="6"/>
  <c r="D49" i="6"/>
  <c r="E49" i="6"/>
  <c r="B49" i="6"/>
  <c r="E56" i="6"/>
  <c r="F56" i="6"/>
  <c r="B56" i="6"/>
  <c r="B52" i="6"/>
  <c r="C48" i="6"/>
  <c r="D48" i="6"/>
  <c r="E48" i="6"/>
  <c r="F48" i="6"/>
  <c r="G48" i="6"/>
  <c r="B48" i="6"/>
  <c r="E44" i="6"/>
  <c r="E57" i="6" s="1"/>
  <c r="C36" i="6"/>
  <c r="C37" i="6" s="1"/>
  <c r="E36" i="6"/>
  <c r="E37" i="6" s="1"/>
  <c r="E38" i="6" s="1"/>
  <c r="F36" i="6"/>
  <c r="F37" i="6" s="1"/>
  <c r="G36" i="6"/>
  <c r="B36" i="6"/>
  <c r="B37" i="6" s="1"/>
  <c r="C32" i="6"/>
  <c r="E32" i="6"/>
  <c r="F32" i="6"/>
  <c r="F33" i="6" s="1"/>
  <c r="G32" i="6"/>
  <c r="G33" i="6" s="1"/>
  <c r="B32" i="6"/>
  <c r="C28" i="6"/>
  <c r="C29" i="6" s="1"/>
  <c r="E28" i="6"/>
  <c r="F28" i="6"/>
  <c r="G28" i="6"/>
  <c r="G29" i="6" s="1"/>
  <c r="B28" i="6"/>
  <c r="B29" i="6" s="1"/>
  <c r="E24" i="6"/>
  <c r="C16" i="6"/>
  <c r="D16" i="6"/>
  <c r="E16" i="6"/>
  <c r="F16" i="6"/>
  <c r="G16" i="6"/>
  <c r="B16" i="6"/>
  <c r="C12" i="6"/>
  <c r="D12" i="6"/>
  <c r="E12" i="6"/>
  <c r="F12" i="6"/>
  <c r="G12" i="6"/>
  <c r="B12" i="6"/>
  <c r="C8" i="6"/>
  <c r="D8" i="6"/>
  <c r="E8" i="6"/>
  <c r="F8" i="6"/>
  <c r="G8" i="6"/>
  <c r="B8" i="6"/>
  <c r="E4" i="6"/>
  <c r="F17" i="6" s="1"/>
  <c r="C89" i="5"/>
  <c r="D89" i="5"/>
  <c r="F89" i="5"/>
  <c r="B89" i="5"/>
  <c r="F85" i="5"/>
  <c r="B85" i="5"/>
  <c r="C81" i="5"/>
  <c r="D81" i="5"/>
  <c r="E81" i="5"/>
  <c r="F81" i="5"/>
  <c r="B81" i="5"/>
  <c r="C88" i="5"/>
  <c r="D88" i="5"/>
  <c r="E88" i="5"/>
  <c r="E89" i="5" s="1"/>
  <c r="F88" i="5"/>
  <c r="B88" i="5"/>
  <c r="B84" i="5"/>
  <c r="C84" i="5"/>
  <c r="C85" i="5" s="1"/>
  <c r="D84" i="5"/>
  <c r="D85" i="5" s="1"/>
  <c r="E84" i="5"/>
  <c r="E85" i="5" s="1"/>
  <c r="F84" i="5"/>
  <c r="C80" i="5"/>
  <c r="D80" i="5"/>
  <c r="E80" i="5"/>
  <c r="F80" i="5"/>
  <c r="B80" i="5"/>
  <c r="D76" i="5"/>
  <c r="C71" i="5"/>
  <c r="D71" i="5"/>
  <c r="E71" i="5"/>
  <c r="F71" i="5"/>
  <c r="B71" i="5"/>
  <c r="E67" i="5"/>
  <c r="F67" i="5"/>
  <c r="B67" i="5"/>
  <c r="C63" i="5"/>
  <c r="D63" i="5"/>
  <c r="E63" i="5"/>
  <c r="F63" i="5"/>
  <c r="B63" i="5"/>
  <c r="C70" i="5"/>
  <c r="D70" i="5"/>
  <c r="E70" i="5"/>
  <c r="F70" i="5"/>
  <c r="B70" i="5"/>
  <c r="C66" i="5"/>
  <c r="C67" i="5" s="1"/>
  <c r="D66" i="5"/>
  <c r="D67" i="5" s="1"/>
  <c r="E66" i="5"/>
  <c r="F66" i="5"/>
  <c r="B66" i="5"/>
  <c r="C62" i="5"/>
  <c r="D62" i="5"/>
  <c r="E62" i="5"/>
  <c r="F62" i="5"/>
  <c r="B62" i="5"/>
  <c r="E58" i="5"/>
  <c r="C53" i="5"/>
  <c r="D53" i="5"/>
  <c r="E53" i="5"/>
  <c r="F53" i="5"/>
  <c r="B53" i="5"/>
  <c r="C52" i="5"/>
  <c r="D52" i="5"/>
  <c r="E52" i="5"/>
  <c r="F52" i="5"/>
  <c r="B52" i="5"/>
  <c r="C49" i="5"/>
  <c r="D49" i="5"/>
  <c r="E49" i="5"/>
  <c r="F49" i="5"/>
  <c r="B49" i="5"/>
  <c r="C48" i="5"/>
  <c r="D48" i="5"/>
  <c r="E48" i="5"/>
  <c r="F48" i="5"/>
  <c r="B48" i="5"/>
  <c r="C45" i="5"/>
  <c r="D45" i="5"/>
  <c r="E45" i="5"/>
  <c r="F45" i="5"/>
  <c r="B45" i="5"/>
  <c r="C44" i="5"/>
  <c r="D44" i="5"/>
  <c r="E44" i="5"/>
  <c r="F44" i="5"/>
  <c r="B44" i="5"/>
  <c r="E40" i="5"/>
  <c r="C35" i="5"/>
  <c r="D35" i="5"/>
  <c r="B35" i="5"/>
  <c r="C31" i="5"/>
  <c r="D31" i="5"/>
  <c r="E31" i="5"/>
  <c r="B31" i="5"/>
  <c r="B37" i="5" s="1"/>
  <c r="C27" i="5"/>
  <c r="D27" i="5"/>
  <c r="E27" i="5"/>
  <c r="B27" i="5"/>
  <c r="C34" i="5"/>
  <c r="D34" i="5"/>
  <c r="E34" i="5"/>
  <c r="E35" i="5" s="1"/>
  <c r="F35" i="5"/>
  <c r="B34" i="5"/>
  <c r="C30" i="5"/>
  <c r="D30" i="5"/>
  <c r="E30" i="5"/>
  <c r="F30" i="5"/>
  <c r="F31" i="5" s="1"/>
  <c r="B30" i="5"/>
  <c r="C26" i="5"/>
  <c r="D26" i="5"/>
  <c r="E26" i="5"/>
  <c r="F26" i="5"/>
  <c r="F27" i="5" s="1"/>
  <c r="B26" i="5"/>
  <c r="E22" i="5"/>
  <c r="D17" i="5"/>
  <c r="F17" i="5"/>
  <c r="B17" i="5"/>
  <c r="C13" i="5"/>
  <c r="D13" i="5"/>
  <c r="E13" i="5"/>
  <c r="F13" i="5"/>
  <c r="C9" i="5"/>
  <c r="D9" i="5"/>
  <c r="F9" i="5"/>
  <c r="B9" i="5"/>
  <c r="E4" i="5"/>
  <c r="C16" i="5"/>
  <c r="C17" i="5" s="1"/>
  <c r="D16" i="5"/>
  <c r="E16" i="5"/>
  <c r="E17" i="5" s="1"/>
  <c r="F16" i="5"/>
  <c r="B16" i="5"/>
  <c r="C12" i="5"/>
  <c r="D12" i="5"/>
  <c r="E12" i="5"/>
  <c r="F12" i="5"/>
  <c r="B12" i="5"/>
  <c r="B13" i="5" s="1"/>
  <c r="C8" i="5"/>
  <c r="D8" i="5"/>
  <c r="E8" i="5"/>
  <c r="E9" i="5" s="1"/>
  <c r="F8" i="5"/>
  <c r="B8" i="5"/>
  <c r="E76" i="3"/>
  <c r="D85" i="3" s="1"/>
  <c r="C85" i="3"/>
  <c r="F81" i="3"/>
  <c r="C84" i="3"/>
  <c r="D84" i="3"/>
  <c r="E84" i="3"/>
  <c r="F84" i="3"/>
  <c r="B84" i="3"/>
  <c r="C80" i="3"/>
  <c r="D80" i="3"/>
  <c r="E80" i="3"/>
  <c r="E81" i="3" s="1"/>
  <c r="F80" i="3"/>
  <c r="B80" i="3"/>
  <c r="E58" i="3"/>
  <c r="C70" i="3"/>
  <c r="F70" i="3"/>
  <c r="E70" i="3"/>
  <c r="B70" i="3"/>
  <c r="C66" i="3"/>
  <c r="F66" i="3"/>
  <c r="E66" i="3"/>
  <c r="B66" i="3"/>
  <c r="C62" i="3"/>
  <c r="F62" i="3"/>
  <c r="E62" i="3"/>
  <c r="D62" i="3"/>
  <c r="B62" i="3"/>
  <c r="E40" i="3"/>
  <c r="D53" i="3" s="1"/>
  <c r="C52" i="3"/>
  <c r="D52" i="3"/>
  <c r="E52" i="3"/>
  <c r="F52" i="3"/>
  <c r="B52" i="3"/>
  <c r="C48" i="3"/>
  <c r="D48" i="3"/>
  <c r="E48" i="3"/>
  <c r="F48" i="3"/>
  <c r="B48" i="3"/>
  <c r="C44" i="3"/>
  <c r="D44" i="3"/>
  <c r="E44" i="3"/>
  <c r="F44" i="3"/>
  <c r="B44" i="3"/>
  <c r="E35" i="3"/>
  <c r="B35" i="3"/>
  <c r="C34" i="3"/>
  <c r="C35" i="3" s="1"/>
  <c r="D34" i="3"/>
  <c r="E34" i="3"/>
  <c r="F34" i="3"/>
  <c r="F35" i="3" s="1"/>
  <c r="B34" i="3"/>
  <c r="C31" i="3"/>
  <c r="B31" i="3"/>
  <c r="C30" i="3"/>
  <c r="D30" i="3"/>
  <c r="D31" i="3" s="1"/>
  <c r="E30" i="3"/>
  <c r="E31" i="3" s="1"/>
  <c r="F30" i="3"/>
  <c r="B30" i="3"/>
  <c r="E27" i="3"/>
  <c r="B27" i="3"/>
  <c r="E22" i="3"/>
  <c r="D35" i="3" s="1"/>
  <c r="D37" i="3" s="1"/>
  <c r="C26" i="3"/>
  <c r="C27" i="3" s="1"/>
  <c r="D26" i="3"/>
  <c r="E26" i="3"/>
  <c r="F26" i="3"/>
  <c r="F27" i="3" s="1"/>
  <c r="B26" i="3"/>
  <c r="C16" i="3"/>
  <c r="D16" i="3"/>
  <c r="E16" i="3"/>
  <c r="F16" i="3"/>
  <c r="B16" i="3"/>
  <c r="C12" i="3"/>
  <c r="D12" i="3"/>
  <c r="E12" i="3"/>
  <c r="F12" i="3"/>
  <c r="B12" i="3"/>
  <c r="E4" i="3"/>
  <c r="D17" i="3" s="1"/>
  <c r="C8" i="3"/>
  <c r="D8" i="3"/>
  <c r="E8" i="3"/>
  <c r="F8" i="3"/>
  <c r="B8" i="3"/>
  <c r="I117" i="6"/>
  <c r="G116" i="6"/>
  <c r="F116" i="6"/>
  <c r="E116" i="6"/>
  <c r="D116" i="6"/>
  <c r="C116" i="6"/>
  <c r="I113" i="6"/>
  <c r="G112" i="6"/>
  <c r="F112" i="6"/>
  <c r="E112" i="6"/>
  <c r="D112" i="6"/>
  <c r="C112" i="6"/>
  <c r="I109" i="6"/>
  <c r="I119" i="6" s="1"/>
  <c r="G108" i="6"/>
  <c r="F108" i="6"/>
  <c r="E108" i="6"/>
  <c r="D108" i="6"/>
  <c r="C108" i="6"/>
  <c r="F104" i="6"/>
  <c r="D117" i="6" s="1"/>
  <c r="I109" i="3"/>
  <c r="E109" i="3"/>
  <c r="G108" i="3"/>
  <c r="F108" i="3"/>
  <c r="F109" i="3" s="1"/>
  <c r="E108" i="3"/>
  <c r="D108" i="3"/>
  <c r="C108" i="3"/>
  <c r="I105" i="3"/>
  <c r="D105" i="3"/>
  <c r="G104" i="3"/>
  <c r="F104" i="3"/>
  <c r="E104" i="3"/>
  <c r="E105" i="3" s="1"/>
  <c r="D104" i="3"/>
  <c r="C104" i="3"/>
  <c r="I101" i="3"/>
  <c r="I111" i="3" s="1"/>
  <c r="G101" i="3"/>
  <c r="C101" i="3"/>
  <c r="G100" i="3"/>
  <c r="F100" i="3"/>
  <c r="E100" i="3"/>
  <c r="D100" i="3"/>
  <c r="D101" i="3" s="1"/>
  <c r="C100" i="3"/>
  <c r="F96" i="3"/>
  <c r="D109" i="3" s="1"/>
  <c r="I109" i="5"/>
  <c r="G108" i="5"/>
  <c r="F108" i="5"/>
  <c r="E108" i="5"/>
  <c r="D108" i="5"/>
  <c r="C108" i="5"/>
  <c r="I105" i="5"/>
  <c r="G104" i="5"/>
  <c r="F104" i="5"/>
  <c r="E104" i="5"/>
  <c r="D104" i="5"/>
  <c r="C104" i="5"/>
  <c r="I101" i="5"/>
  <c r="I111" i="5" s="1"/>
  <c r="G100" i="5"/>
  <c r="F100" i="5"/>
  <c r="E100" i="5"/>
  <c r="D100" i="5"/>
  <c r="C100" i="5"/>
  <c r="G96" i="5"/>
  <c r="D109" i="5" s="1"/>
  <c r="G99" i="6" l="1"/>
  <c r="G98" i="6"/>
  <c r="E99" i="6"/>
  <c r="E98" i="6"/>
  <c r="C98" i="6"/>
  <c r="B99" i="6"/>
  <c r="B98" i="6"/>
  <c r="E17" i="6"/>
  <c r="B9" i="6"/>
  <c r="G13" i="6"/>
  <c r="D17" i="6"/>
  <c r="F13" i="6"/>
  <c r="C13" i="6"/>
  <c r="D9" i="6"/>
  <c r="B17" i="6"/>
  <c r="F77" i="6"/>
  <c r="D39" i="6"/>
  <c r="D38" i="6"/>
  <c r="E39" i="6"/>
  <c r="C36" i="3"/>
  <c r="C37" i="3"/>
  <c r="D36" i="3"/>
  <c r="E37" i="5"/>
  <c r="E36" i="5"/>
  <c r="B36" i="5"/>
  <c r="F36" i="5"/>
  <c r="F37" i="5"/>
  <c r="F38" i="6"/>
  <c r="F39" i="6"/>
  <c r="F89" i="6"/>
  <c r="F98" i="6" s="1"/>
  <c r="G9" i="6"/>
  <c r="C9" i="6"/>
  <c r="E13" i="6"/>
  <c r="E19" i="6" s="1"/>
  <c r="G17" i="6"/>
  <c r="C17" i="6"/>
  <c r="E33" i="6"/>
  <c r="F29" i="6"/>
  <c r="G37" i="6"/>
  <c r="G49" i="6"/>
  <c r="C49" i="6"/>
  <c r="D53" i="6"/>
  <c r="F57" i="6"/>
  <c r="G69" i="6"/>
  <c r="C69" i="6"/>
  <c r="G73" i="6"/>
  <c r="C73" i="6"/>
  <c r="G77" i="6"/>
  <c r="C77" i="6"/>
  <c r="C89" i="6"/>
  <c r="F9" i="6"/>
  <c r="B13" i="6"/>
  <c r="B33" i="6"/>
  <c r="C33" i="6"/>
  <c r="E29" i="6"/>
  <c r="F49" i="6"/>
  <c r="B53" i="6"/>
  <c r="C53" i="6"/>
  <c r="F69" i="6"/>
  <c r="F73" i="6"/>
  <c r="D89" i="6"/>
  <c r="D99" i="6" s="1"/>
  <c r="C13" i="3"/>
  <c r="B17" i="3"/>
  <c r="E9" i="3"/>
  <c r="F13" i="3"/>
  <c r="E17" i="3"/>
  <c r="C17" i="3"/>
  <c r="D13" i="3"/>
  <c r="F9" i="3"/>
  <c r="B13" i="3"/>
  <c r="F17" i="3"/>
  <c r="B9" i="3"/>
  <c r="B18" i="3" s="1"/>
  <c r="C9" i="3"/>
  <c r="C18" i="3" s="1"/>
  <c r="D9" i="3"/>
  <c r="E13" i="3"/>
  <c r="D27" i="3"/>
  <c r="F31" i="3"/>
  <c r="C53" i="3"/>
  <c r="E45" i="3"/>
  <c r="F49" i="3"/>
  <c r="B53" i="3"/>
  <c r="D45" i="3"/>
  <c r="E49" i="3"/>
  <c r="F53" i="3"/>
  <c r="B45" i="3"/>
  <c r="C45" i="3"/>
  <c r="D49" i="3"/>
  <c r="E53" i="3"/>
  <c r="F45" i="3"/>
  <c r="B49" i="3"/>
  <c r="C49" i="3"/>
  <c r="E71" i="3"/>
  <c r="B63" i="3"/>
  <c r="C63" i="3"/>
  <c r="F67" i="3"/>
  <c r="D63" i="3"/>
  <c r="B67" i="3"/>
  <c r="C67" i="3"/>
  <c r="F71" i="3"/>
  <c r="E63" i="3"/>
  <c r="B71" i="3"/>
  <c r="C71" i="3"/>
  <c r="F63" i="3"/>
  <c r="E67" i="3"/>
  <c r="B85" i="3"/>
  <c r="F85" i="3"/>
  <c r="D81" i="3"/>
  <c r="E85" i="3"/>
  <c r="B81" i="3"/>
  <c r="C81" i="3"/>
  <c r="G109" i="6"/>
  <c r="E113" i="6"/>
  <c r="F117" i="6"/>
  <c r="E117" i="6"/>
  <c r="D109" i="6"/>
  <c r="D119" i="6" s="1"/>
  <c r="C109" i="6"/>
  <c r="D113" i="6"/>
  <c r="D118" i="6" s="1"/>
  <c r="E109" i="6"/>
  <c r="F113" i="6"/>
  <c r="C117" i="6"/>
  <c r="G117" i="6"/>
  <c r="I118" i="6"/>
  <c r="F109" i="6"/>
  <c r="C113" i="6"/>
  <c r="C119" i="6" s="1"/>
  <c r="G113" i="6"/>
  <c r="D111" i="3"/>
  <c r="D110" i="3"/>
  <c r="C111" i="3"/>
  <c r="E101" i="3"/>
  <c r="F105" i="3"/>
  <c r="C109" i="3"/>
  <c r="G109" i="3"/>
  <c r="I110" i="3"/>
  <c r="F101" i="3"/>
  <c r="C105" i="3"/>
  <c r="C110" i="3" s="1"/>
  <c r="G105" i="3"/>
  <c r="G111" i="3" s="1"/>
  <c r="G101" i="5"/>
  <c r="E105" i="5"/>
  <c r="F109" i="5"/>
  <c r="E109" i="5"/>
  <c r="D101" i="5"/>
  <c r="C101" i="5"/>
  <c r="D105" i="5"/>
  <c r="D111" i="5"/>
  <c r="D110" i="5"/>
  <c r="I110" i="5"/>
  <c r="E101" i="5"/>
  <c r="F105" i="5"/>
  <c r="C109" i="5"/>
  <c r="G109" i="5"/>
  <c r="G111" i="5"/>
  <c r="F101" i="5"/>
  <c r="C105" i="5"/>
  <c r="C110" i="5" s="1"/>
  <c r="G105" i="5"/>
  <c r="G110" i="5" s="1"/>
  <c r="F99" i="6" l="1"/>
  <c r="D98" i="6"/>
  <c r="B18" i="6"/>
  <c r="F18" i="6"/>
  <c r="D18" i="6"/>
  <c r="E18" i="6"/>
  <c r="D19" i="6"/>
  <c r="C18" i="6"/>
  <c r="C19" i="6"/>
  <c r="B19" i="6"/>
  <c r="F19" i="6"/>
  <c r="F78" i="6"/>
  <c r="F79" i="6"/>
  <c r="G19" i="6"/>
  <c r="G18" i="6"/>
  <c r="G39" i="6"/>
  <c r="G38" i="6"/>
  <c r="G118" i="6"/>
  <c r="C19" i="3"/>
  <c r="E18" i="3"/>
  <c r="E19" i="3"/>
  <c r="F18" i="3"/>
  <c r="F19" i="3"/>
  <c r="B19" i="3"/>
  <c r="D18" i="3"/>
  <c r="D19" i="3"/>
  <c r="G119" i="6"/>
  <c r="C118" i="6"/>
  <c r="F118" i="6"/>
  <c r="F119" i="6"/>
  <c r="E119" i="6"/>
  <c r="E118" i="6"/>
  <c r="F110" i="3"/>
  <c r="F111" i="3"/>
  <c r="E111" i="3"/>
  <c r="E110" i="3"/>
  <c r="G110" i="3"/>
  <c r="C111" i="5"/>
  <c r="F110" i="5"/>
  <c r="F111" i="5"/>
  <c r="E110" i="5"/>
  <c r="E111" i="5"/>
</calcChain>
</file>

<file path=xl/sharedStrings.xml><?xml version="1.0" encoding="utf-8"?>
<sst xmlns="http://schemas.openxmlformats.org/spreadsheetml/2006/main" count="416" uniqueCount="37">
  <si>
    <t>Sonication EtOH-H2O</t>
  </si>
  <si>
    <t>Infusion</t>
  </si>
  <si>
    <t>Maceration EtOH-H2O</t>
  </si>
  <si>
    <t>Sonication EtOH</t>
  </si>
  <si>
    <t>Maceration EtOH</t>
  </si>
  <si>
    <t>C</t>
  </si>
  <si>
    <t>Bc</t>
  </si>
  <si>
    <t>C ( mg/mL)</t>
  </si>
  <si>
    <t>A1 N°1</t>
  </si>
  <si>
    <t>CoS</t>
  </si>
  <si>
    <t>A1-CoS</t>
  </si>
  <si>
    <t>I% N°1</t>
  </si>
  <si>
    <t>CI50N°1</t>
  </si>
  <si>
    <t>A2 N°2</t>
  </si>
  <si>
    <t>A2-CoS</t>
  </si>
  <si>
    <t>I% N°2</t>
  </si>
  <si>
    <t>CI50N°2</t>
  </si>
  <si>
    <t>A3 N°3</t>
  </si>
  <si>
    <t>A3-CoS</t>
  </si>
  <si>
    <t>I% N°3</t>
  </si>
  <si>
    <t>CI50N°3</t>
  </si>
  <si>
    <t xml:space="preserve">I% SD </t>
  </si>
  <si>
    <t>CI50-SD</t>
  </si>
  <si>
    <t>MEAN I%</t>
  </si>
  <si>
    <t>CI50-mean</t>
  </si>
  <si>
    <t>C_Simpl</t>
  </si>
  <si>
    <t>I% Tyrosinase</t>
  </si>
  <si>
    <t>I% Elastase</t>
  </si>
  <si>
    <t xml:space="preserve">Kojic acid </t>
  </si>
  <si>
    <t>EPGG</t>
  </si>
  <si>
    <t>IC50 N°1</t>
  </si>
  <si>
    <t>IC50 N°2</t>
  </si>
  <si>
    <t>IC50 N°3</t>
  </si>
  <si>
    <t>SD IC50</t>
  </si>
  <si>
    <t>Mean IC50</t>
  </si>
  <si>
    <t xml:space="preserve">Infusion </t>
  </si>
  <si>
    <t xml:space="preserve">Sonication EtOH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</si>
</sst>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164" fontId="1" fillId="0" borderId="0" xfId="0" applyNumberFormat="1" applyFont="1" applyFill="1"/>
    <xf numFmtId="0" fontId="0" fillId="0" borderId="0" xfId="0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0" fillId="0" borderId="1" xfId="0" applyFill="1" applyBorder="1"/>
    <xf numFmtId="0" fontId="0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/>
    <xf numFmtId="0" fontId="0" fillId="0" borderId="1" xfId="0" applyFont="1" applyFill="1" applyBorder="1"/>
    <xf numFmtId="0" fontId="0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EPGG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[1]ELASTASE!$D$118:$G$118</c:f>
              <c:numCache>
                <c:formatCode>General</c:formatCode>
                <c:ptCount val="4"/>
                <c:pt idx="0">
                  <c:v>0.25</c:v>
                </c:pt>
                <c:pt idx="1">
                  <c:v>0.125</c:v>
                </c:pt>
                <c:pt idx="2">
                  <c:v>0.06</c:v>
                </c:pt>
                <c:pt idx="3">
                  <c:v>0.03</c:v>
                </c:pt>
              </c:numCache>
            </c:numRef>
          </c:xVal>
          <c:yVal>
            <c:numRef>
              <c:f>[1]ELASTASE!$D$122:$G$122</c:f>
              <c:numCache>
                <c:formatCode>General</c:formatCode>
                <c:ptCount val="4"/>
                <c:pt idx="0">
                  <c:v>66.620305980528514</c:v>
                </c:pt>
                <c:pt idx="1">
                  <c:v>52.433936022253135</c:v>
                </c:pt>
                <c:pt idx="2">
                  <c:v>46.870653685674547</c:v>
                </c:pt>
                <c:pt idx="3">
                  <c:v>33.101529902642554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80-4607-BCF7-5860D8888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920016"/>
        <c:axId val="315923376"/>
      </c:scatterChart>
      <c:valAx>
        <c:axId val="31592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5923376"/>
        <c:crosses val="autoZero"/>
        <c:crossBetween val="midCat"/>
      </c:valAx>
      <c:valAx>
        <c:axId val="31592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592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Elastase!$B$41:$F$41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Elastase!$B$45:$F$45</c:f>
              <c:numCache>
                <c:formatCode>General</c:formatCode>
                <c:ptCount val="5"/>
                <c:pt idx="0">
                  <c:v>65.400843881856545</c:v>
                </c:pt>
                <c:pt idx="1">
                  <c:v>48.851383028598221</c:v>
                </c:pt>
                <c:pt idx="2">
                  <c:v>37.083919362400373</c:v>
                </c:pt>
                <c:pt idx="3">
                  <c:v>19.081106422878566</c:v>
                </c:pt>
                <c:pt idx="4">
                  <c:v>28.926394749179547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B0-49A3-943B-DE32726A2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404319"/>
        <c:axId val="389411039"/>
      </c:scatterChart>
      <c:valAx>
        <c:axId val="389404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411039"/>
        <c:crosses val="autoZero"/>
        <c:crossBetween val="midCat"/>
      </c:valAx>
      <c:valAx>
        <c:axId val="38941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404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Elastase!$B$41:$F$41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Elastase!$B$49:$F$49</c:f>
              <c:numCache>
                <c:formatCode>General</c:formatCode>
                <c:ptCount val="5"/>
                <c:pt idx="0">
                  <c:v>61.790904828879512</c:v>
                </c:pt>
                <c:pt idx="1">
                  <c:v>61.837787154242854</c:v>
                </c:pt>
                <c:pt idx="2">
                  <c:v>36.755743084857002</c:v>
                </c:pt>
                <c:pt idx="3">
                  <c:v>29.488982653539626</c:v>
                </c:pt>
                <c:pt idx="4">
                  <c:v>21.565869667135498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0B-4E37-8FE6-489C2E10C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39455"/>
        <c:axId val="455251455"/>
      </c:scatterChart>
      <c:valAx>
        <c:axId val="455239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51455"/>
        <c:crosses val="autoZero"/>
        <c:crossBetween val="midCat"/>
      </c:valAx>
      <c:valAx>
        <c:axId val="45525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39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Elastase!$C$41:$F$41</c:f>
              <c:numCache>
                <c:formatCode>General</c:formatCode>
                <c:ptCount val="4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</c:v>
                </c:pt>
              </c:numCache>
            </c:numRef>
          </c:xVal>
          <c:yVal>
            <c:numRef>
              <c:f>Elastase!$C$53:$F$53</c:f>
              <c:numCache>
                <c:formatCode>General</c:formatCode>
                <c:ptCount val="4"/>
                <c:pt idx="0">
                  <c:v>57.805907172995788</c:v>
                </c:pt>
                <c:pt idx="1">
                  <c:v>52.930145335208621</c:v>
                </c:pt>
                <c:pt idx="2">
                  <c:v>34.364744491326775</c:v>
                </c:pt>
                <c:pt idx="3">
                  <c:v>32.86451007969994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2F-4008-A309-F34D66D6E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754207"/>
        <c:axId val="462752767"/>
      </c:scatterChart>
      <c:valAx>
        <c:axId val="462754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2752767"/>
        <c:crosses val="autoZero"/>
        <c:crossBetween val="midCat"/>
      </c:valAx>
      <c:valAx>
        <c:axId val="462752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2754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Elastase!$B$59:$F$59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Elastase!$B$63:$F$63</c:f>
              <c:numCache>
                <c:formatCode>General</c:formatCode>
                <c:ptCount val="5"/>
                <c:pt idx="0">
                  <c:v>69.421101774042953</c:v>
                </c:pt>
                <c:pt idx="1">
                  <c:v>53.828197945845005</c:v>
                </c:pt>
                <c:pt idx="2">
                  <c:v>48.272642390289441</c:v>
                </c:pt>
                <c:pt idx="3">
                  <c:v>42.670401493930903</c:v>
                </c:pt>
                <c:pt idx="4">
                  <c:v>36.601307189542474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D3-4066-93BB-3B6636344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527391"/>
        <c:axId val="1269530271"/>
      </c:scatterChart>
      <c:valAx>
        <c:axId val="1269527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9530271"/>
        <c:crosses val="autoZero"/>
        <c:crossBetween val="midCat"/>
      </c:valAx>
      <c:valAx>
        <c:axId val="1269530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9527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Elastase!$B$59:$F$59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Elastase!$B$67:$F$67</c:f>
              <c:numCache>
                <c:formatCode>General</c:formatCode>
                <c:ptCount val="5"/>
                <c:pt idx="0">
                  <c:v>69.701213818860879</c:v>
                </c:pt>
                <c:pt idx="1">
                  <c:v>61.20448179271709</c:v>
                </c:pt>
                <c:pt idx="2">
                  <c:v>47.759103641456576</c:v>
                </c:pt>
                <c:pt idx="3">
                  <c:v>41.643323996265167</c:v>
                </c:pt>
                <c:pt idx="4">
                  <c:v>33.146591970121378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F7-4F12-A776-F4381F2A6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14911"/>
        <c:axId val="456809151"/>
      </c:scatterChart>
      <c:valAx>
        <c:axId val="456814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809151"/>
        <c:crosses val="autoZero"/>
        <c:crossBetween val="midCat"/>
      </c:valAx>
      <c:valAx>
        <c:axId val="45680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814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Elastase!$B$59:$F$59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Elastase!$B$71:$F$71</c:f>
              <c:numCache>
                <c:formatCode>General</c:formatCode>
                <c:ptCount val="5"/>
                <c:pt idx="0">
                  <c:v>68.160597572362278</c:v>
                </c:pt>
                <c:pt idx="1">
                  <c:v>56.162464985994397</c:v>
                </c:pt>
                <c:pt idx="2">
                  <c:v>47.712418300653589</c:v>
                </c:pt>
                <c:pt idx="3">
                  <c:v>44.584500466853406</c:v>
                </c:pt>
                <c:pt idx="4">
                  <c:v>35.714285714285722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C6-4B76-BE8E-48FFE2727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34591"/>
        <c:axId val="456833631"/>
      </c:scatterChart>
      <c:valAx>
        <c:axId val="456834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833631"/>
        <c:crosses val="autoZero"/>
        <c:crossBetween val="midCat"/>
      </c:valAx>
      <c:valAx>
        <c:axId val="456833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834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Elastase!$B$77:$E$77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Elastase!$B$81:$E$81</c:f>
              <c:numCache>
                <c:formatCode>General</c:formatCode>
                <c:ptCount val="4"/>
                <c:pt idx="0">
                  <c:v>54.529717253317941</c:v>
                </c:pt>
                <c:pt idx="1">
                  <c:v>42.238892094633577</c:v>
                </c:pt>
                <c:pt idx="2">
                  <c:v>46.451240623196774</c:v>
                </c:pt>
                <c:pt idx="3">
                  <c:v>36.872475476053083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3F-4394-BE2D-9209495D1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821343"/>
        <c:axId val="461813183"/>
      </c:scatterChart>
      <c:valAx>
        <c:axId val="46182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1813183"/>
        <c:crosses val="autoZero"/>
        <c:crossBetween val="midCat"/>
      </c:valAx>
      <c:valAx>
        <c:axId val="46181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182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Elastase!$B$77:$E$77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Elastase!$B$85:$E$85</c:f>
              <c:numCache>
                <c:formatCode>General</c:formatCode>
                <c:ptCount val="4"/>
                <c:pt idx="0">
                  <c:v>61.627236006924413</c:v>
                </c:pt>
                <c:pt idx="1">
                  <c:v>48.009232544720135</c:v>
                </c:pt>
                <c:pt idx="2">
                  <c:v>42.008078476630132</c:v>
                </c:pt>
                <c:pt idx="3">
                  <c:v>28.62088863242931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63-41D8-AD5B-A2850B026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37343"/>
        <c:axId val="468622463"/>
      </c:scatterChart>
      <c:valAx>
        <c:axId val="46863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622463"/>
        <c:crosses val="autoZero"/>
        <c:crossBetween val="midCat"/>
      </c:valAx>
      <c:valAx>
        <c:axId val="46862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637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Elastase!$B$77:$E$77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Elastase!$B$89:$E$89</c:f>
              <c:numCache>
                <c:formatCode>General</c:formatCode>
                <c:ptCount val="4"/>
                <c:pt idx="0">
                  <c:v>52.91402192729371</c:v>
                </c:pt>
                <c:pt idx="1">
                  <c:v>42.98903635314484</c:v>
                </c:pt>
                <c:pt idx="2">
                  <c:v>40.103866128101572</c:v>
                </c:pt>
                <c:pt idx="3">
                  <c:v>38.89209463358339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58-4AA1-AB7A-7FB08795C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41855"/>
        <c:axId val="455237535"/>
      </c:scatterChart>
      <c:valAx>
        <c:axId val="455241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37535"/>
        <c:crosses val="autoZero"/>
        <c:crossBetween val="midCat"/>
      </c:valAx>
      <c:valAx>
        <c:axId val="45523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1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EPGG</a:t>
            </a:r>
            <a:r>
              <a:rPr lang="fr-FR" baseline="0"/>
              <a:t> I% N°1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[1]Colagenase!$D$121:$G$121</c:f>
              <c:numCache>
                <c:formatCode>General</c:formatCode>
                <c:ptCount val="4"/>
                <c:pt idx="0">
                  <c:v>0.25</c:v>
                </c:pt>
                <c:pt idx="1">
                  <c:v>0.125</c:v>
                </c:pt>
                <c:pt idx="2">
                  <c:v>0.06</c:v>
                </c:pt>
                <c:pt idx="3">
                  <c:v>0.03</c:v>
                </c:pt>
              </c:numCache>
            </c:numRef>
          </c:xVal>
          <c:yVal>
            <c:numRef>
              <c:f>[1]Colagenase!$D$125:$G$125</c:f>
              <c:numCache>
                <c:formatCode>General</c:formatCode>
                <c:ptCount val="4"/>
                <c:pt idx="0">
                  <c:v>75.528700906344397</c:v>
                </c:pt>
                <c:pt idx="1">
                  <c:v>60.725075528700913</c:v>
                </c:pt>
                <c:pt idx="2">
                  <c:v>53.021148036253777</c:v>
                </c:pt>
                <c:pt idx="3">
                  <c:v>32.024169184290024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CA-40BE-A18F-DD64F9078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8656"/>
        <c:axId val="211880656"/>
      </c:scatterChart>
      <c:valAx>
        <c:axId val="21186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1880656"/>
        <c:crosses val="autoZero"/>
        <c:crossBetween val="midCat"/>
      </c:valAx>
      <c:valAx>
        <c:axId val="2118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1868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EPGG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[1]ELASTASE!$D$118:$G$118</c:f>
              <c:numCache>
                <c:formatCode>General</c:formatCode>
                <c:ptCount val="4"/>
                <c:pt idx="0">
                  <c:v>0.25</c:v>
                </c:pt>
                <c:pt idx="1">
                  <c:v>0.125</c:v>
                </c:pt>
                <c:pt idx="2">
                  <c:v>0.06</c:v>
                </c:pt>
                <c:pt idx="3">
                  <c:v>0.03</c:v>
                </c:pt>
              </c:numCache>
            </c:numRef>
          </c:xVal>
          <c:yVal>
            <c:numRef>
              <c:f>[1]ELASTASE!$D$126:$G$126</c:f>
              <c:numCache>
                <c:formatCode>General</c:formatCode>
                <c:ptCount val="4"/>
                <c:pt idx="0">
                  <c:v>67.454798331015297</c:v>
                </c:pt>
                <c:pt idx="1">
                  <c:v>51.87760778859527</c:v>
                </c:pt>
                <c:pt idx="2">
                  <c:v>45.897079276773304</c:v>
                </c:pt>
                <c:pt idx="3">
                  <c:v>31.154381084840054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08-40FC-A1AC-CCACAD401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67664"/>
        <c:axId val="48265264"/>
      </c:scatterChart>
      <c:valAx>
        <c:axId val="4826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265264"/>
        <c:crosses val="autoZero"/>
        <c:crossBetween val="midCat"/>
      </c:valAx>
      <c:valAx>
        <c:axId val="4826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26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EPGG</a:t>
            </a:r>
            <a:r>
              <a:rPr lang="fr-FR" baseline="0"/>
              <a:t> I% N°2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[1]Colagenase!$D$121:$G$121</c:f>
              <c:numCache>
                <c:formatCode>General</c:formatCode>
                <c:ptCount val="4"/>
                <c:pt idx="0">
                  <c:v>0.25</c:v>
                </c:pt>
                <c:pt idx="1">
                  <c:v>0.125</c:v>
                </c:pt>
                <c:pt idx="2">
                  <c:v>0.06</c:v>
                </c:pt>
                <c:pt idx="3">
                  <c:v>0.03</c:v>
                </c:pt>
              </c:numCache>
            </c:numRef>
          </c:xVal>
          <c:yVal>
            <c:numRef>
              <c:f>[1]Colagenase!$D$129:$G$129</c:f>
              <c:numCache>
                <c:formatCode>General</c:formatCode>
                <c:ptCount val="4"/>
                <c:pt idx="0">
                  <c:v>75.075528700906332</c:v>
                </c:pt>
                <c:pt idx="1">
                  <c:v>61.027190332326285</c:v>
                </c:pt>
                <c:pt idx="2">
                  <c:v>51.057401812688816</c:v>
                </c:pt>
                <c:pt idx="3">
                  <c:v>31.873111782477338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DA-4F09-BBA9-B9B2624D2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329104"/>
        <c:axId val="275332464"/>
      </c:scatterChart>
      <c:valAx>
        <c:axId val="27532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5332464"/>
        <c:crosses val="autoZero"/>
        <c:crossBetween val="midCat"/>
      </c:valAx>
      <c:valAx>
        <c:axId val="27533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5329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Collagenase!$C$5:$F$5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Collagenase!$C$9:$F$9</c:f>
              <c:numCache>
                <c:formatCode>General</c:formatCode>
                <c:ptCount val="4"/>
                <c:pt idx="0">
                  <c:v>80.645161290322562</c:v>
                </c:pt>
                <c:pt idx="1">
                  <c:v>48.387096774193687</c:v>
                </c:pt>
                <c:pt idx="2">
                  <c:v>32.258064516129046</c:v>
                </c:pt>
                <c:pt idx="3">
                  <c:v>16.129032258064541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1E-498E-86F8-2026EEB0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86239"/>
        <c:axId val="455486719"/>
      </c:scatterChart>
      <c:valAx>
        <c:axId val="455486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6719"/>
        <c:crosses val="autoZero"/>
        <c:crossBetween val="midCat"/>
      </c:valAx>
      <c:valAx>
        <c:axId val="45548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6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Collagenase!$C$5:$F$5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Collagenase!$C$13:$F$13</c:f>
              <c:numCache>
                <c:formatCode>General</c:formatCode>
                <c:ptCount val="4"/>
                <c:pt idx="0">
                  <c:v>79.032258064516114</c:v>
                </c:pt>
                <c:pt idx="1">
                  <c:v>61.290322580645309</c:v>
                </c:pt>
                <c:pt idx="2">
                  <c:v>45.161290322580669</c:v>
                </c:pt>
                <c:pt idx="3">
                  <c:v>27.419354838709708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07-49FF-A7C2-0F3DF3E16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58063"/>
        <c:axId val="244475343"/>
      </c:scatterChart>
      <c:valAx>
        <c:axId val="244458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75343"/>
        <c:crosses val="autoZero"/>
        <c:crossBetween val="midCat"/>
      </c:valAx>
      <c:valAx>
        <c:axId val="24447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58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Collagenase!$C$5:$F$5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Collagenase!$C$17:$F$17</c:f>
              <c:numCache>
                <c:formatCode>General</c:formatCode>
                <c:ptCount val="4"/>
                <c:pt idx="0">
                  <c:v>72.580645161290306</c:v>
                </c:pt>
                <c:pt idx="1">
                  <c:v>69.35483870967758</c:v>
                </c:pt>
                <c:pt idx="2">
                  <c:v>37.096774193548406</c:v>
                </c:pt>
                <c:pt idx="3">
                  <c:v>20.9677419354839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35-423F-BB28-C0F6D0B96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527391"/>
        <c:axId val="1269529311"/>
      </c:scatterChart>
      <c:valAx>
        <c:axId val="1269527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9529311"/>
        <c:crosses val="autoZero"/>
        <c:crossBetween val="midCat"/>
      </c:valAx>
      <c:valAx>
        <c:axId val="1269529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9527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layout>
        <c:manualLayout>
          <c:xMode val="edge"/>
          <c:yMode val="edge"/>
          <c:x val="0.41504855643044625"/>
          <c:y val="5.16129032258064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Collagenase!$C$23:$F$23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Collagenase!$C$27:$F$27</c:f>
              <c:numCache>
                <c:formatCode>General</c:formatCode>
                <c:ptCount val="4"/>
                <c:pt idx="0">
                  <c:v>65.591397849462396</c:v>
                </c:pt>
                <c:pt idx="1">
                  <c:v>55.913978494623649</c:v>
                </c:pt>
                <c:pt idx="2">
                  <c:v>33.333333333333364</c:v>
                </c:pt>
                <c:pt idx="3">
                  <c:v>26.881720430107521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CB-4893-8C2A-F7632C28E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2735"/>
        <c:axId val="385187935"/>
      </c:scatterChart>
      <c:valAx>
        <c:axId val="385192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87935"/>
        <c:crosses val="autoZero"/>
        <c:crossBetween val="midCat"/>
      </c:valAx>
      <c:valAx>
        <c:axId val="385187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2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Collagenase!$C$23:$F$23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Collagenase!$C$31:$F$31</c:f>
              <c:numCache>
                <c:formatCode>General</c:formatCode>
                <c:ptCount val="4"/>
                <c:pt idx="0">
                  <c:v>82.258064516129011</c:v>
                </c:pt>
                <c:pt idx="1">
                  <c:v>54.301075268817186</c:v>
                </c:pt>
                <c:pt idx="2">
                  <c:v>49.999999999999986</c:v>
                </c:pt>
                <c:pt idx="3">
                  <c:v>19.892473118279558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05-4922-8DE4-236B8B59B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1775"/>
        <c:axId val="385192735"/>
      </c:scatterChart>
      <c:valAx>
        <c:axId val="38519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2735"/>
        <c:crosses val="autoZero"/>
        <c:crossBetween val="midCat"/>
      </c:valAx>
      <c:valAx>
        <c:axId val="38519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Collagenase!$B$23:$F$23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Collagenase!$B$35:$F$35</c:f>
              <c:numCache>
                <c:formatCode>General</c:formatCode>
                <c:ptCount val="5"/>
                <c:pt idx="0">
                  <c:v>77.41935483870968</c:v>
                </c:pt>
                <c:pt idx="1">
                  <c:v>67.204301075268845</c:v>
                </c:pt>
                <c:pt idx="2">
                  <c:v>46.23655913978493</c:v>
                </c:pt>
                <c:pt idx="3">
                  <c:v>47.311827956989291</c:v>
                </c:pt>
                <c:pt idx="4">
                  <c:v>29.032258064516125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A5-4FC8-A404-278866CE6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90559"/>
        <c:axId val="455483359"/>
      </c:scatterChart>
      <c:valAx>
        <c:axId val="45549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3359"/>
        <c:crosses val="autoZero"/>
        <c:crossBetween val="midCat"/>
      </c:valAx>
      <c:valAx>
        <c:axId val="45548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90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Collagenase!$B$41:$F$41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Collagenase!$B$45:$F$45</c:f>
              <c:numCache>
                <c:formatCode>General</c:formatCode>
                <c:ptCount val="5"/>
                <c:pt idx="0">
                  <c:v>87.543252595155735</c:v>
                </c:pt>
                <c:pt idx="1">
                  <c:v>75.43252595155711</c:v>
                </c:pt>
                <c:pt idx="2">
                  <c:v>60.553633217993038</c:v>
                </c:pt>
                <c:pt idx="3">
                  <c:v>51.55709342560553</c:v>
                </c:pt>
                <c:pt idx="4">
                  <c:v>39.446366782006919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8-4A20-8BCB-A20D42A57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841135"/>
        <c:axId val="1279840175"/>
      </c:scatterChart>
      <c:valAx>
        <c:axId val="1279841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9840175"/>
        <c:crosses val="autoZero"/>
        <c:crossBetween val="midCat"/>
      </c:valAx>
      <c:valAx>
        <c:axId val="127984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9841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Collagenase!$B$41:$F$41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Collagenase!$B$49:$F$49</c:f>
              <c:numCache>
                <c:formatCode>General</c:formatCode>
                <c:ptCount val="5"/>
                <c:pt idx="0">
                  <c:v>90.657439446366823</c:v>
                </c:pt>
                <c:pt idx="1">
                  <c:v>62.975778546712803</c:v>
                </c:pt>
                <c:pt idx="2">
                  <c:v>53.979238754325252</c:v>
                </c:pt>
                <c:pt idx="3">
                  <c:v>61.937716262975783</c:v>
                </c:pt>
                <c:pt idx="4">
                  <c:v>34.602076124567475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01-41D2-863E-25EC9735B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1775"/>
        <c:axId val="385193695"/>
      </c:scatterChart>
      <c:valAx>
        <c:axId val="38519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3695"/>
        <c:crosses val="autoZero"/>
        <c:crossBetween val="midCat"/>
      </c:valAx>
      <c:valAx>
        <c:axId val="38519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Collagenase!$B$41:$F$41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Collagenase!$B$53:$F$53</c:f>
              <c:numCache>
                <c:formatCode>General</c:formatCode>
                <c:ptCount val="5"/>
                <c:pt idx="0">
                  <c:v>89.965397923875457</c:v>
                </c:pt>
                <c:pt idx="1">
                  <c:v>71.280276816609017</c:v>
                </c:pt>
                <c:pt idx="2">
                  <c:v>53.633217993079576</c:v>
                </c:pt>
                <c:pt idx="3">
                  <c:v>60.207612456747405</c:v>
                </c:pt>
                <c:pt idx="4">
                  <c:v>38.754325259515568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15-4A30-89FC-13C8331DB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44623"/>
        <c:axId val="389232143"/>
      </c:scatterChart>
      <c:valAx>
        <c:axId val="38924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2143"/>
        <c:crosses val="autoZero"/>
        <c:crossBetween val="midCat"/>
      </c:valAx>
      <c:valAx>
        <c:axId val="389232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44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EPGG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layout>
        <c:manualLayout>
          <c:xMode val="edge"/>
          <c:yMode val="edge"/>
          <c:x val="0.5067152230971128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[1]ELASTASE!$D$118:$G$118</c:f>
              <c:numCache>
                <c:formatCode>General</c:formatCode>
                <c:ptCount val="4"/>
                <c:pt idx="0">
                  <c:v>0.25</c:v>
                </c:pt>
                <c:pt idx="1">
                  <c:v>0.125</c:v>
                </c:pt>
                <c:pt idx="2">
                  <c:v>0.06</c:v>
                </c:pt>
                <c:pt idx="3">
                  <c:v>0.03</c:v>
                </c:pt>
              </c:numCache>
            </c:numRef>
          </c:xVal>
          <c:yVal>
            <c:numRef>
              <c:f>[1]ELASTASE!$D$130:$G$130</c:f>
              <c:numCache>
                <c:formatCode>General</c:formatCode>
                <c:ptCount val="4"/>
                <c:pt idx="0">
                  <c:v>66.203059805285108</c:v>
                </c:pt>
                <c:pt idx="1">
                  <c:v>54.520166898470102</c:v>
                </c:pt>
                <c:pt idx="2">
                  <c:v>45.618915159944379</c:v>
                </c:pt>
                <c:pt idx="3">
                  <c:v>34.214186369958277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83-4B00-8BCB-4BD76D115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293328"/>
        <c:axId val="393292848"/>
      </c:scatterChart>
      <c:valAx>
        <c:axId val="39329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292848"/>
        <c:crosses val="autoZero"/>
        <c:crossBetween val="midCat"/>
      </c:valAx>
      <c:valAx>
        <c:axId val="39329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29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Collagenase!$C$59:$F$59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Collagenase!$C$63:$F$63</c:f>
              <c:numCache>
                <c:formatCode>General</c:formatCode>
                <c:ptCount val="4"/>
                <c:pt idx="0">
                  <c:v>73.936170212765958</c:v>
                </c:pt>
                <c:pt idx="1">
                  <c:v>72.340425531914903</c:v>
                </c:pt>
                <c:pt idx="2">
                  <c:v>33.510638297872354</c:v>
                </c:pt>
                <c:pt idx="3">
                  <c:v>11.170212765957457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DC-4610-BC90-54E087478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87199"/>
        <c:axId val="455487679"/>
      </c:scatterChart>
      <c:valAx>
        <c:axId val="45548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7679"/>
        <c:crosses val="autoZero"/>
        <c:crossBetween val="midCat"/>
      </c:valAx>
      <c:valAx>
        <c:axId val="455487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7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Collagenase!$C$59:$F$59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</c:numCache>
            </c:numRef>
          </c:xVal>
          <c:yVal>
            <c:numRef>
              <c:f>Collagenase!$C$67:$F$67</c:f>
              <c:numCache>
                <c:formatCode>General</c:formatCode>
                <c:ptCount val="4"/>
                <c:pt idx="0">
                  <c:v>71.542553191489361</c:v>
                </c:pt>
                <c:pt idx="1">
                  <c:v>69.680851063829792</c:v>
                </c:pt>
                <c:pt idx="2">
                  <c:v>39.361702127659562</c:v>
                </c:pt>
                <c:pt idx="3">
                  <c:v>25.797872340425528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98-483A-82A2-F24EEE4E4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46175"/>
        <c:axId val="455244255"/>
      </c:scatterChart>
      <c:valAx>
        <c:axId val="455246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4255"/>
        <c:crosses val="autoZero"/>
        <c:crossBetween val="midCat"/>
      </c:valAx>
      <c:valAx>
        <c:axId val="4552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6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layout>
        <c:manualLayout>
          <c:xMode val="edge"/>
          <c:yMode val="edge"/>
          <c:x val="0.4011596675415573"/>
          <c:y val="5.59440559440559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Collagenase!$B$59:$F$59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Collagenase!$B$71:$F$71</c:f>
              <c:numCache>
                <c:formatCode>General</c:formatCode>
                <c:ptCount val="5"/>
                <c:pt idx="0">
                  <c:v>78.191489361702139</c:v>
                </c:pt>
                <c:pt idx="1">
                  <c:v>72.340425531914903</c:v>
                </c:pt>
                <c:pt idx="2">
                  <c:v>52.127659574468076</c:v>
                </c:pt>
                <c:pt idx="3">
                  <c:v>34.308510638297889</c:v>
                </c:pt>
                <c:pt idx="4">
                  <c:v>18.08510638297874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C1-4A93-9468-129E2DDCA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13135"/>
        <c:axId val="452214575"/>
      </c:scatterChart>
      <c:valAx>
        <c:axId val="45221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14575"/>
        <c:crosses val="autoZero"/>
        <c:crossBetween val="midCat"/>
      </c:valAx>
      <c:valAx>
        <c:axId val="45221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13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Collagenase!$B$77:$F$77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Collagenase!$B$81:$F$81</c:f>
              <c:numCache>
                <c:formatCode>General</c:formatCode>
                <c:ptCount val="5"/>
                <c:pt idx="0">
                  <c:v>87.417218543046388</c:v>
                </c:pt>
                <c:pt idx="1">
                  <c:v>62.25165562913908</c:v>
                </c:pt>
                <c:pt idx="2">
                  <c:v>51.324503311258304</c:v>
                </c:pt>
                <c:pt idx="3">
                  <c:v>37.417218543046374</c:v>
                </c:pt>
                <c:pt idx="4">
                  <c:v>8.9403973509933863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E3-4296-A96D-4671A8BAF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54703"/>
        <c:axId val="244452783"/>
      </c:scatterChart>
      <c:valAx>
        <c:axId val="244454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52783"/>
        <c:crosses val="autoZero"/>
        <c:crossBetween val="midCat"/>
      </c:valAx>
      <c:valAx>
        <c:axId val="24445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54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Collagenase!$B$77:$F$77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Collagenase!$B$85:$F$85</c:f>
              <c:numCache>
                <c:formatCode>General</c:formatCode>
                <c:ptCount val="5"/>
                <c:pt idx="0">
                  <c:v>90.06622516556294</c:v>
                </c:pt>
                <c:pt idx="1">
                  <c:v>68.543046357615907</c:v>
                </c:pt>
                <c:pt idx="2">
                  <c:v>50.331125827814596</c:v>
                </c:pt>
                <c:pt idx="3">
                  <c:v>35.430463576158957</c:v>
                </c:pt>
                <c:pt idx="4">
                  <c:v>25.165562913907291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5D-4F02-B28D-936A79806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47135"/>
        <c:axId val="455248095"/>
      </c:scatterChart>
      <c:valAx>
        <c:axId val="455247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8095"/>
        <c:crosses val="autoZero"/>
        <c:crossBetween val="midCat"/>
      </c:valAx>
      <c:valAx>
        <c:axId val="45524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7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Collagenase!$B$77:$F$77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Collagenase!$B$89:$F$89</c:f>
              <c:numCache>
                <c:formatCode>General</c:formatCode>
                <c:ptCount val="5"/>
                <c:pt idx="0">
                  <c:v>83.443708609271553</c:v>
                </c:pt>
                <c:pt idx="1">
                  <c:v>67.218543046357624</c:v>
                </c:pt>
                <c:pt idx="2">
                  <c:v>47.350993377483469</c:v>
                </c:pt>
                <c:pt idx="3">
                  <c:v>39.735099337748323</c:v>
                </c:pt>
                <c:pt idx="4">
                  <c:v>15.562913907284765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9-4F29-B6C9-A29AAE6B3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51455"/>
        <c:axId val="455249535"/>
      </c:scatterChart>
      <c:valAx>
        <c:axId val="455251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9535"/>
        <c:crosses val="autoZero"/>
        <c:crossBetween val="midCat"/>
      </c:valAx>
      <c:valAx>
        <c:axId val="45524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51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Kojic acid </a:t>
            </a:r>
            <a:r>
              <a:rPr lang="fr-FR" sz="1400" b="0" i="0" u="none" strike="noStrike" baseline="0"/>
              <a:t>  I%1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9247594050743664E-2"/>
          <c:y val="0.24689527021786295"/>
          <c:w val="0.87437751531058616"/>
          <c:h val="0.5758082602211206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[1]TYR!$D$123:$F$123</c:f>
              <c:numCache>
                <c:formatCode>General</c:formatCode>
                <c:ptCount val="3"/>
                <c:pt idx="0">
                  <c:v>0.25</c:v>
                </c:pt>
                <c:pt idx="1">
                  <c:v>0.125</c:v>
                </c:pt>
                <c:pt idx="2">
                  <c:v>0.06</c:v>
                </c:pt>
              </c:numCache>
            </c:numRef>
          </c:xVal>
          <c:yVal>
            <c:numRef>
              <c:f>[1]TYR!$D$127:$F$127</c:f>
              <c:numCache>
                <c:formatCode>General</c:formatCode>
                <c:ptCount val="3"/>
                <c:pt idx="0">
                  <c:v>83.231083844580795</c:v>
                </c:pt>
                <c:pt idx="1">
                  <c:v>66.359918200408998</c:v>
                </c:pt>
                <c:pt idx="2">
                  <c:v>48.057259713701427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C1-4163-899B-C41B41134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910992"/>
        <c:axId val="280911472"/>
      </c:scatterChart>
      <c:valAx>
        <c:axId val="28091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80911472"/>
        <c:crosses val="autoZero"/>
        <c:crossBetween val="midCat"/>
      </c:valAx>
      <c:valAx>
        <c:axId val="28091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8091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Kojic acid I%2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[1]TYR!$E$123:$G$123</c:f>
              <c:numCache>
                <c:formatCode>General</c:formatCode>
                <c:ptCount val="3"/>
                <c:pt idx="0">
                  <c:v>0.125</c:v>
                </c:pt>
                <c:pt idx="1">
                  <c:v>0.06</c:v>
                </c:pt>
                <c:pt idx="2">
                  <c:v>0.03</c:v>
                </c:pt>
              </c:numCache>
            </c:numRef>
          </c:xVal>
          <c:yVal>
            <c:numRef>
              <c:f>[1]TYR!$E$131:$G$131</c:f>
              <c:numCache>
                <c:formatCode>General</c:formatCode>
                <c:ptCount val="3"/>
                <c:pt idx="0">
                  <c:v>65.235173824130882</c:v>
                </c:pt>
                <c:pt idx="1">
                  <c:v>53.885480572597132</c:v>
                </c:pt>
                <c:pt idx="2">
                  <c:v>24.437627811860942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CA-425E-9C4E-790D888EE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884048"/>
        <c:axId val="271882128"/>
      </c:scatterChart>
      <c:valAx>
        <c:axId val="27188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1882128"/>
        <c:crosses val="autoZero"/>
        <c:crossBetween val="midCat"/>
      </c:valAx>
      <c:valAx>
        <c:axId val="27188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1884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Kojic acid  I%3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[1]TYR!$E$123:$G$123</c:f>
              <c:numCache>
                <c:formatCode>General</c:formatCode>
                <c:ptCount val="3"/>
                <c:pt idx="0">
                  <c:v>0.125</c:v>
                </c:pt>
                <c:pt idx="1">
                  <c:v>0.06</c:v>
                </c:pt>
                <c:pt idx="2">
                  <c:v>0.03</c:v>
                </c:pt>
              </c:numCache>
            </c:numRef>
          </c:xVal>
          <c:yVal>
            <c:numRef>
              <c:f>[1]TYR!$E$135:$G$135</c:f>
              <c:numCache>
                <c:formatCode>General</c:formatCode>
                <c:ptCount val="3"/>
                <c:pt idx="0">
                  <c:v>60.429447852760731</c:v>
                </c:pt>
                <c:pt idx="1">
                  <c:v>52.658486707566453</c:v>
                </c:pt>
                <c:pt idx="2">
                  <c:v>27.198364008179958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84-41B7-A2DB-BB68381B1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236336"/>
        <c:axId val="252245456"/>
      </c:scatterChart>
      <c:valAx>
        <c:axId val="25223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245456"/>
        <c:crosses val="autoZero"/>
        <c:crossBetween val="midCat"/>
      </c:valAx>
      <c:valAx>
        <c:axId val="25224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2236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Tyrosinase!$C$5:$G$5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Tyrosinase!$C$9:$G$9</c:f>
              <c:numCache>
                <c:formatCode>General</c:formatCode>
                <c:ptCount val="5"/>
                <c:pt idx="0">
                  <c:v>63.554216867469883</c:v>
                </c:pt>
                <c:pt idx="1">
                  <c:v>39.759036144578317</c:v>
                </c:pt>
                <c:pt idx="2">
                  <c:v>30.421686746987941</c:v>
                </c:pt>
                <c:pt idx="3">
                  <c:v>24.397590361445786</c:v>
                </c:pt>
                <c:pt idx="4">
                  <c:v>19.879518072289155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06-4B3E-920C-F23DD0444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72943"/>
        <c:axId val="244446063"/>
      </c:scatterChart>
      <c:valAx>
        <c:axId val="24447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46063"/>
        <c:crosses val="autoZero"/>
        <c:crossBetween val="midCat"/>
      </c:valAx>
      <c:valAx>
        <c:axId val="24444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72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Elastase!$B$5:$F$5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Elastase!$B$9:$F$9</c:f>
              <c:numCache>
                <c:formatCode>General</c:formatCode>
                <c:ptCount val="5"/>
                <c:pt idx="0">
                  <c:v>71.264367816091962</c:v>
                </c:pt>
                <c:pt idx="1">
                  <c:v>64.89832007073386</c:v>
                </c:pt>
                <c:pt idx="2">
                  <c:v>42.175066312997345</c:v>
                </c:pt>
                <c:pt idx="3">
                  <c:v>23.607427055702928</c:v>
                </c:pt>
                <c:pt idx="4">
                  <c:v>19.628647214854109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A-404A-B9B3-53CB436B5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24495"/>
        <c:axId val="455228815"/>
      </c:scatterChart>
      <c:valAx>
        <c:axId val="455224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28815"/>
        <c:crosses val="autoZero"/>
        <c:crossBetween val="midCat"/>
      </c:valAx>
      <c:valAx>
        <c:axId val="455228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24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13648293963254E-2"/>
          <c:y val="0.16708333333333336"/>
          <c:w val="0.88704418197725288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Tyrosinase!$B$5:$G$5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0.06</c:v>
                </c:pt>
              </c:numCache>
            </c:numRef>
          </c:xVal>
          <c:yVal>
            <c:numRef>
              <c:f>Tyrosinase!$B$13:$G$13</c:f>
              <c:numCache>
                <c:formatCode>General</c:formatCode>
                <c:ptCount val="6"/>
                <c:pt idx="0">
                  <c:v>64.457831325301214</c:v>
                </c:pt>
                <c:pt idx="1">
                  <c:v>57.831325301204814</c:v>
                </c:pt>
                <c:pt idx="2">
                  <c:v>34.638554216867476</c:v>
                </c:pt>
                <c:pt idx="3">
                  <c:v>29.819277108433727</c:v>
                </c:pt>
                <c:pt idx="4">
                  <c:v>23.192771084337352</c:v>
                </c:pt>
                <c:pt idx="5">
                  <c:v>8.1325301204819347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79-45C0-B8C8-773D7198B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48943"/>
        <c:axId val="244464303"/>
      </c:scatterChart>
      <c:valAx>
        <c:axId val="24444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4303"/>
        <c:crosses val="autoZero"/>
        <c:crossBetween val="midCat"/>
      </c:valAx>
      <c:valAx>
        <c:axId val="24446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48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Tyrosinase!$C$5:$G$5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Tyrosinase!$C$17:$G$17</c:f>
              <c:numCache>
                <c:formatCode>General</c:formatCode>
                <c:ptCount val="5"/>
                <c:pt idx="0">
                  <c:v>62.349397590361441</c:v>
                </c:pt>
                <c:pt idx="1">
                  <c:v>48.192771084337352</c:v>
                </c:pt>
                <c:pt idx="2">
                  <c:v>51.807228915662662</c:v>
                </c:pt>
                <c:pt idx="3">
                  <c:v>23.795180722891569</c:v>
                </c:pt>
                <c:pt idx="4">
                  <c:v>18.674698795180721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F1-4ED6-A11C-87AC7191C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333343"/>
        <c:axId val="373334783"/>
      </c:scatterChart>
      <c:valAx>
        <c:axId val="373333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3334783"/>
        <c:crosses val="autoZero"/>
        <c:crossBetween val="midCat"/>
      </c:valAx>
      <c:valAx>
        <c:axId val="37333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3333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Tyrosinase!$C$25:$G$25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Tyrosinase!$C$29:$G$29</c:f>
              <c:numCache>
                <c:formatCode>General</c:formatCode>
                <c:ptCount val="5"/>
                <c:pt idx="0">
                  <c:v>75.049900199600799</c:v>
                </c:pt>
                <c:pt idx="1">
                  <c:v>70.658682634730525</c:v>
                </c:pt>
                <c:pt idx="2">
                  <c:v>60.878243512974052</c:v>
                </c:pt>
                <c:pt idx="3">
                  <c:v>54.890219560878251</c:v>
                </c:pt>
                <c:pt idx="4">
                  <c:v>41.317365269461092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02-4A04-AD56-4AFAE95E1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57583"/>
        <c:axId val="244469583"/>
      </c:scatterChart>
      <c:valAx>
        <c:axId val="244457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9583"/>
        <c:crosses val="autoZero"/>
        <c:crossBetween val="midCat"/>
      </c:valAx>
      <c:valAx>
        <c:axId val="24446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57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Tyrosinase!$C$25:$G$25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Tyrosinase!$C$33:$G$33</c:f>
              <c:numCache>
                <c:formatCode>General</c:formatCode>
                <c:ptCount val="5"/>
                <c:pt idx="0">
                  <c:v>70.658682634730525</c:v>
                </c:pt>
                <c:pt idx="1">
                  <c:v>72.055888223552884</c:v>
                </c:pt>
                <c:pt idx="2">
                  <c:v>43.712574850299404</c:v>
                </c:pt>
                <c:pt idx="3">
                  <c:v>54.09181636726548</c:v>
                </c:pt>
                <c:pt idx="4">
                  <c:v>41.516966067864288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97-4024-B4B6-B199BA1A2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404319"/>
        <c:axId val="389407199"/>
      </c:scatterChart>
      <c:valAx>
        <c:axId val="389404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407199"/>
        <c:crosses val="autoZero"/>
        <c:crossBetween val="midCat"/>
      </c:valAx>
      <c:valAx>
        <c:axId val="38940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404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Tyrosinase!$C$25:$G$25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Tyrosinase!$C$37:$G$37</c:f>
              <c:numCache>
                <c:formatCode>General</c:formatCode>
                <c:ptCount val="5"/>
                <c:pt idx="0">
                  <c:v>73.253493013972061</c:v>
                </c:pt>
                <c:pt idx="1">
                  <c:v>69.26147704590818</c:v>
                </c:pt>
                <c:pt idx="2">
                  <c:v>45.109780439121742</c:v>
                </c:pt>
                <c:pt idx="3">
                  <c:v>49.30139720558882</c:v>
                </c:pt>
                <c:pt idx="4">
                  <c:v>38.922155688622766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3-482F-B65A-81C75CA32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30703"/>
        <c:axId val="389234063"/>
      </c:scatterChart>
      <c:valAx>
        <c:axId val="389230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4063"/>
        <c:crosses val="autoZero"/>
        <c:crossBetween val="midCat"/>
      </c:valAx>
      <c:valAx>
        <c:axId val="389234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0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Tyrosinase!$D$45:$G$45</c:f>
              <c:numCache>
                <c:formatCode>General</c:formatCode>
                <c:ptCount val="4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  <c:pt idx="3">
                  <c:v>0.06</c:v>
                </c:pt>
              </c:numCache>
            </c:numRef>
          </c:xVal>
          <c:yVal>
            <c:numRef>
              <c:f>Tyrosinase!$D$49:$G$49</c:f>
              <c:numCache>
                <c:formatCode>General</c:formatCode>
                <c:ptCount val="4"/>
                <c:pt idx="0">
                  <c:v>62.201834862385319</c:v>
                </c:pt>
                <c:pt idx="1">
                  <c:v>63.853211009174323</c:v>
                </c:pt>
                <c:pt idx="2">
                  <c:v>40.550458715596335</c:v>
                </c:pt>
                <c:pt idx="3">
                  <c:v>27.706422018348626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0-4BFD-A02C-43B61B9DD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563183"/>
        <c:axId val="2093564143"/>
      </c:scatterChart>
      <c:valAx>
        <c:axId val="2093563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564143"/>
        <c:crosses val="autoZero"/>
        <c:crossBetween val="midCat"/>
      </c:valAx>
      <c:valAx>
        <c:axId val="209356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563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Tyrosinase!$D$45:$G$45</c:f>
              <c:numCache>
                <c:formatCode>General</c:formatCode>
                <c:ptCount val="4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  <c:pt idx="3">
                  <c:v>0.06</c:v>
                </c:pt>
              </c:numCache>
            </c:numRef>
          </c:xVal>
          <c:yVal>
            <c:numRef>
              <c:f>Tyrosinase!$D$53:$G$53</c:f>
              <c:numCache>
                <c:formatCode>General</c:formatCode>
                <c:ptCount val="4"/>
                <c:pt idx="0">
                  <c:v>62.018348623853214</c:v>
                </c:pt>
                <c:pt idx="1">
                  <c:v>53.394495412844037</c:v>
                </c:pt>
                <c:pt idx="2">
                  <c:v>45.137614678899091</c:v>
                </c:pt>
                <c:pt idx="3">
                  <c:v>25.321100917431195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80-4CEA-9AEF-EBEDD3050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563183"/>
        <c:axId val="2093561743"/>
      </c:scatterChart>
      <c:valAx>
        <c:axId val="2093563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561743"/>
        <c:crosses val="autoZero"/>
        <c:crossBetween val="midCat"/>
      </c:valAx>
      <c:valAx>
        <c:axId val="2093561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563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Tyrosinase!$B$45:$G$45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0.06</c:v>
                </c:pt>
              </c:numCache>
            </c:numRef>
          </c:xVal>
          <c:yVal>
            <c:numRef>
              <c:f>Tyrosinase!$B$57:$G$57</c:f>
              <c:numCache>
                <c:formatCode>General</c:formatCode>
                <c:ptCount val="6"/>
                <c:pt idx="0">
                  <c:v>71.926605504587158</c:v>
                </c:pt>
                <c:pt idx="1">
                  <c:v>71.0091743119266</c:v>
                </c:pt>
                <c:pt idx="2">
                  <c:v>53.394495412844037</c:v>
                </c:pt>
                <c:pt idx="3">
                  <c:v>50.642201834862391</c:v>
                </c:pt>
                <c:pt idx="4">
                  <c:v>51.743119266055047</c:v>
                </c:pt>
                <c:pt idx="5">
                  <c:v>44.770642201834868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6E-49DA-99F1-C3FDBBD93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332863"/>
        <c:axId val="373336223"/>
      </c:scatterChart>
      <c:valAx>
        <c:axId val="373332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3336223"/>
        <c:crosses val="autoZero"/>
        <c:crossBetween val="midCat"/>
      </c:valAx>
      <c:valAx>
        <c:axId val="37333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3332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Tyrosinase!$B$65:$G$65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0.06</c:v>
                </c:pt>
              </c:numCache>
            </c:numRef>
          </c:xVal>
          <c:yVal>
            <c:numRef>
              <c:f>Tyrosinase!$B$69:$G$69</c:f>
              <c:numCache>
                <c:formatCode>General</c:formatCode>
                <c:ptCount val="6"/>
                <c:pt idx="0">
                  <c:v>74.704491725768335</c:v>
                </c:pt>
                <c:pt idx="1">
                  <c:v>69.739952718676122</c:v>
                </c:pt>
                <c:pt idx="2">
                  <c:v>54.609929078014183</c:v>
                </c:pt>
                <c:pt idx="3">
                  <c:v>53.191489361702125</c:v>
                </c:pt>
                <c:pt idx="4">
                  <c:v>48.226950354609926</c:v>
                </c:pt>
                <c:pt idx="5">
                  <c:v>31.442080378250591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B-42FE-B820-5566AB96F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33103"/>
        <c:axId val="389242703"/>
      </c:scatterChart>
      <c:valAx>
        <c:axId val="38923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42703"/>
        <c:crosses val="autoZero"/>
        <c:crossBetween val="midCat"/>
      </c:valAx>
      <c:valAx>
        <c:axId val="38924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3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Tyrosinase!$C$65:$G$65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Tyrosinase!$C$73:$G$73</c:f>
              <c:numCache>
                <c:formatCode>General</c:formatCode>
                <c:ptCount val="5"/>
                <c:pt idx="0">
                  <c:v>67.612293144208039</c:v>
                </c:pt>
                <c:pt idx="1">
                  <c:v>55.791962174940899</c:v>
                </c:pt>
                <c:pt idx="2">
                  <c:v>56.737588652482273</c:v>
                </c:pt>
                <c:pt idx="3">
                  <c:v>46.808510638297875</c:v>
                </c:pt>
                <c:pt idx="4">
                  <c:v>21.749408983451541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47-4C83-8D89-B4DEB044B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07855"/>
        <c:axId val="452208335"/>
      </c:scatterChart>
      <c:valAx>
        <c:axId val="45220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8335"/>
        <c:crosses val="autoZero"/>
        <c:crossBetween val="midCat"/>
      </c:valAx>
      <c:valAx>
        <c:axId val="452208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7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Elastase!$C$5:$F$5</c:f>
              <c:numCache>
                <c:formatCode>General</c:formatCode>
                <c:ptCount val="4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</c:v>
                </c:pt>
              </c:numCache>
            </c:numRef>
          </c:xVal>
          <c:yVal>
            <c:numRef>
              <c:f>Elastase!$C$13:$F$13</c:f>
              <c:numCache>
                <c:formatCode>General</c:formatCode>
                <c:ptCount val="4"/>
                <c:pt idx="0">
                  <c:v>62.599469496021221</c:v>
                </c:pt>
                <c:pt idx="1">
                  <c:v>42.882404951370468</c:v>
                </c:pt>
                <c:pt idx="2">
                  <c:v>41.511936339522549</c:v>
                </c:pt>
                <c:pt idx="3">
                  <c:v>19.274977895667547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FE-481F-A522-396BB9A9F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06895"/>
        <c:axId val="452201615"/>
      </c:scatterChart>
      <c:valAx>
        <c:axId val="452206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1615"/>
        <c:crosses val="autoZero"/>
        <c:crossBetween val="midCat"/>
      </c:valAx>
      <c:valAx>
        <c:axId val="45220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6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Tyrosinase!$C$65:$G$65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Tyrosinase!$C$77:$G$77</c:f>
              <c:numCache>
                <c:formatCode>General</c:formatCode>
                <c:ptCount val="5"/>
                <c:pt idx="0">
                  <c:v>70.685579196217503</c:v>
                </c:pt>
                <c:pt idx="1">
                  <c:v>59.574468085106382</c:v>
                </c:pt>
                <c:pt idx="2">
                  <c:v>50.118203309692667</c:v>
                </c:pt>
                <c:pt idx="3">
                  <c:v>47.281323877068559</c:v>
                </c:pt>
                <c:pt idx="4">
                  <c:v>26.713947990543733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4-4F0E-83D2-934C0D3CF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47359"/>
        <c:axId val="389344479"/>
      </c:scatterChart>
      <c:valAx>
        <c:axId val="389347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344479"/>
        <c:crosses val="autoZero"/>
        <c:crossBetween val="midCat"/>
      </c:valAx>
      <c:valAx>
        <c:axId val="38934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347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Tyrosinase!$C$85:$G$85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</c:v>
                </c:pt>
              </c:numCache>
            </c:numRef>
          </c:xVal>
          <c:yVal>
            <c:numRef>
              <c:f>Tyrosinase!$C$89:$G$89</c:f>
              <c:numCache>
                <c:formatCode>General</c:formatCode>
                <c:ptCount val="5"/>
                <c:pt idx="0">
                  <c:v>79.578947368421055</c:v>
                </c:pt>
                <c:pt idx="1">
                  <c:v>59.789473684210527</c:v>
                </c:pt>
                <c:pt idx="2">
                  <c:v>53.684210526315788</c:v>
                </c:pt>
                <c:pt idx="3">
                  <c:v>41.894736842105246</c:v>
                </c:pt>
                <c:pt idx="4">
                  <c:v>25.263157894736842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9D-40E6-A064-E1CE0955B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81695"/>
        <c:axId val="385192255"/>
      </c:scatterChart>
      <c:valAx>
        <c:axId val="38518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2255"/>
        <c:crosses val="autoZero"/>
        <c:crossBetween val="midCat"/>
      </c:valAx>
      <c:valAx>
        <c:axId val="385192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81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Tyrosinase!$B$85:$G$85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0.06</c:v>
                </c:pt>
              </c:numCache>
            </c:numRef>
          </c:xVal>
          <c:yVal>
            <c:numRef>
              <c:f>Tyrosinase!$B$93:$G$93</c:f>
              <c:numCache>
                <c:formatCode>General</c:formatCode>
                <c:ptCount val="6"/>
                <c:pt idx="0">
                  <c:v>81.05263157894737</c:v>
                </c:pt>
                <c:pt idx="1">
                  <c:v>74.94736842105263</c:v>
                </c:pt>
                <c:pt idx="2">
                  <c:v>64.21052631578948</c:v>
                </c:pt>
                <c:pt idx="3">
                  <c:v>55.789473684210535</c:v>
                </c:pt>
                <c:pt idx="4">
                  <c:v>45.894736842105246</c:v>
                </c:pt>
                <c:pt idx="5">
                  <c:v>28.210526315789476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67-40AA-A5F5-0E90C681A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47983"/>
        <c:axId val="244448463"/>
      </c:scatterChart>
      <c:valAx>
        <c:axId val="244447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48463"/>
        <c:crosses val="autoZero"/>
        <c:crossBetween val="midCat"/>
      </c:valAx>
      <c:valAx>
        <c:axId val="24444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47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Tyrosinase!$B$85:$G$85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0.06</c:v>
                </c:pt>
              </c:numCache>
            </c:numRef>
          </c:xVal>
          <c:yVal>
            <c:numRef>
              <c:f>Tyrosinase!$B$97:$G$97</c:f>
              <c:numCache>
                <c:formatCode>General</c:formatCode>
                <c:ptCount val="6"/>
                <c:pt idx="0">
                  <c:v>80.842105263157904</c:v>
                </c:pt>
                <c:pt idx="1">
                  <c:v>70.105263157894754</c:v>
                </c:pt>
                <c:pt idx="2">
                  <c:v>60</c:v>
                </c:pt>
                <c:pt idx="3">
                  <c:v>58.947368421052637</c:v>
                </c:pt>
                <c:pt idx="4">
                  <c:v>45.052631578947349</c:v>
                </c:pt>
                <c:pt idx="5">
                  <c:v>18.315789473684205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EB-4D58-A6B5-BC93853BF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87199"/>
        <c:axId val="455484319"/>
      </c:scatterChart>
      <c:valAx>
        <c:axId val="45548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4319"/>
        <c:crosses val="autoZero"/>
        <c:crossBetween val="midCat"/>
      </c:valAx>
      <c:valAx>
        <c:axId val="455484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87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Elastase!$B$5:$F$5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Elastase!$B$17:$F$17</c:f>
              <c:numCache>
                <c:formatCode>General</c:formatCode>
                <c:ptCount val="5"/>
                <c:pt idx="0">
                  <c:v>89.964633068081341</c:v>
                </c:pt>
                <c:pt idx="1">
                  <c:v>61.803713527851464</c:v>
                </c:pt>
                <c:pt idx="2">
                  <c:v>46.949602122015918</c:v>
                </c:pt>
                <c:pt idx="3">
                  <c:v>26.834659593280279</c:v>
                </c:pt>
                <c:pt idx="4">
                  <c:v>20.601237842617163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52-4694-B680-2CEFC2F1C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05935"/>
        <c:axId val="452211215"/>
      </c:scatterChart>
      <c:valAx>
        <c:axId val="452205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11215"/>
        <c:crosses val="autoZero"/>
        <c:crossBetween val="midCat"/>
      </c:valAx>
      <c:valAx>
        <c:axId val="45221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5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Elastase!$B$23:$F$23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Elastase!$B$27:$F$27</c:f>
              <c:numCache>
                <c:formatCode>General</c:formatCode>
                <c:ptCount val="5"/>
                <c:pt idx="0">
                  <c:v>75.887631681623105</c:v>
                </c:pt>
                <c:pt idx="1">
                  <c:v>67.811158798283273</c:v>
                </c:pt>
                <c:pt idx="2">
                  <c:v>59.071400702301993</c:v>
                </c:pt>
                <c:pt idx="3">
                  <c:v>51.580179477175193</c:v>
                </c:pt>
                <c:pt idx="4">
                  <c:v>46.93718298868513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20-4A10-B10D-EFCBD19F1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34543"/>
        <c:axId val="389240303"/>
      </c:scatterChart>
      <c:valAx>
        <c:axId val="38923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40303"/>
        <c:crosses val="autoZero"/>
        <c:crossBetween val="midCat"/>
      </c:valAx>
      <c:valAx>
        <c:axId val="38924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45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layout>
        <c:manualLayout>
          <c:xMode val="edge"/>
          <c:yMode val="edge"/>
          <c:x val="0.41504855643044625"/>
          <c:y val="5.57491493133416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Elastase!$B$23:$F$23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Elastase!$B$31:$F$31</c:f>
              <c:numCache>
                <c:formatCode>General</c:formatCode>
                <c:ptCount val="5"/>
                <c:pt idx="0">
                  <c:v>82.091299258681232</c:v>
                </c:pt>
                <c:pt idx="1">
                  <c:v>69.098712446351925</c:v>
                </c:pt>
                <c:pt idx="2">
                  <c:v>65.626219274287948</c:v>
                </c:pt>
                <c:pt idx="3">
                  <c:v>49.434256730394068</c:v>
                </c:pt>
                <c:pt idx="4">
                  <c:v>47.366367538041359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22-4818-9202-B0BCAF423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01135"/>
        <c:axId val="452202095"/>
      </c:scatterChart>
      <c:valAx>
        <c:axId val="452201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2095"/>
        <c:crosses val="autoZero"/>
        <c:crossBetween val="midCat"/>
      </c:valAx>
      <c:valAx>
        <c:axId val="45220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201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Elastase!$B$23:$F$23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</c:v>
                </c:pt>
              </c:numCache>
            </c:numRef>
          </c:xVal>
          <c:yVal>
            <c:numRef>
              <c:f>Elastase!$B$35:$F$35</c:f>
              <c:numCache>
                <c:formatCode>General</c:formatCode>
                <c:ptCount val="5"/>
                <c:pt idx="0">
                  <c:v>73.156457276628956</c:v>
                </c:pt>
                <c:pt idx="1">
                  <c:v>68.552477565353101</c:v>
                </c:pt>
                <c:pt idx="2">
                  <c:v>60.436987904799068</c:v>
                </c:pt>
                <c:pt idx="3">
                  <c:v>43.503706593835354</c:v>
                </c:pt>
                <c:pt idx="4">
                  <c:v>45.493562231759661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D-4004-B13D-E5DED2415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46175"/>
        <c:axId val="2093559343"/>
      </c:scatterChart>
      <c:valAx>
        <c:axId val="455246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559343"/>
        <c:crosses val="autoZero"/>
        <c:crossBetween val="midCat"/>
      </c:valAx>
      <c:valAx>
        <c:axId val="209355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46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13" Type="http://schemas.openxmlformats.org/officeDocument/2006/relationships/chart" Target="../charts/chart31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17" Type="http://schemas.openxmlformats.org/officeDocument/2006/relationships/chart" Target="../charts/chart35.xml"/><Relationship Id="rId2" Type="http://schemas.openxmlformats.org/officeDocument/2006/relationships/chart" Target="../charts/chart20.xml"/><Relationship Id="rId16" Type="http://schemas.openxmlformats.org/officeDocument/2006/relationships/chart" Target="../charts/chart34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11" Type="http://schemas.openxmlformats.org/officeDocument/2006/relationships/chart" Target="../charts/chart29.xml"/><Relationship Id="rId5" Type="http://schemas.openxmlformats.org/officeDocument/2006/relationships/chart" Target="../charts/chart23.xml"/><Relationship Id="rId15" Type="http://schemas.openxmlformats.org/officeDocument/2006/relationships/chart" Target="../charts/chart3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Relationship Id="rId14" Type="http://schemas.openxmlformats.org/officeDocument/2006/relationships/chart" Target="../charts/chart3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3.xml"/><Relationship Id="rId13" Type="http://schemas.openxmlformats.org/officeDocument/2006/relationships/chart" Target="../charts/chart48.xml"/><Relationship Id="rId18" Type="http://schemas.openxmlformats.org/officeDocument/2006/relationships/chart" Target="../charts/chart53.xml"/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12" Type="http://schemas.openxmlformats.org/officeDocument/2006/relationships/chart" Target="../charts/chart47.xml"/><Relationship Id="rId17" Type="http://schemas.openxmlformats.org/officeDocument/2006/relationships/chart" Target="../charts/chart52.xml"/><Relationship Id="rId2" Type="http://schemas.openxmlformats.org/officeDocument/2006/relationships/chart" Target="../charts/chart37.xml"/><Relationship Id="rId16" Type="http://schemas.openxmlformats.org/officeDocument/2006/relationships/chart" Target="../charts/chart51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11" Type="http://schemas.openxmlformats.org/officeDocument/2006/relationships/chart" Target="../charts/chart46.xml"/><Relationship Id="rId5" Type="http://schemas.openxmlformats.org/officeDocument/2006/relationships/chart" Target="../charts/chart40.xml"/><Relationship Id="rId15" Type="http://schemas.openxmlformats.org/officeDocument/2006/relationships/chart" Target="../charts/chart50.xml"/><Relationship Id="rId10" Type="http://schemas.openxmlformats.org/officeDocument/2006/relationships/chart" Target="../charts/chart45.xml"/><Relationship Id="rId4" Type="http://schemas.openxmlformats.org/officeDocument/2006/relationships/chart" Target="../charts/chart39.xml"/><Relationship Id="rId9" Type="http://schemas.openxmlformats.org/officeDocument/2006/relationships/chart" Target="../charts/chart44.xml"/><Relationship Id="rId14" Type="http://schemas.openxmlformats.org/officeDocument/2006/relationships/chart" Target="../charts/chart4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94</xdr:row>
      <xdr:rowOff>0</xdr:rowOff>
    </xdr:from>
    <xdr:to>
      <xdr:col>18</xdr:col>
      <xdr:colOff>304800</xdr:colOff>
      <xdr:row>104</xdr:row>
      <xdr:rowOff>8660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8A7F0D-B83B-47C0-8746-02315F7C4A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100</xdr:row>
      <xdr:rowOff>0</xdr:rowOff>
    </xdr:from>
    <xdr:to>
      <xdr:col>18</xdr:col>
      <xdr:colOff>304800</xdr:colOff>
      <xdr:row>108</xdr:row>
      <xdr:rowOff>147205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C24678-141D-4270-9FC0-4067EFA16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152400</xdr:colOff>
      <xdr:row>107</xdr:row>
      <xdr:rowOff>161925</xdr:rowOff>
    </xdr:from>
    <xdr:to>
      <xdr:col>18</xdr:col>
      <xdr:colOff>457200</xdr:colOff>
      <xdr:row>117</xdr:row>
      <xdr:rowOff>122093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90A61E-EE1C-4371-A7F2-D8D0D7A7C5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2</xdr:row>
      <xdr:rowOff>152399</xdr:rowOff>
    </xdr:from>
    <xdr:to>
      <xdr:col>16</xdr:col>
      <xdr:colOff>114300</xdr:colOff>
      <xdr:row>12</xdr:row>
      <xdr:rowOff>14286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333F366-CE82-A7EE-FA0B-D9395EC10D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581025</xdr:colOff>
      <xdr:row>9</xdr:row>
      <xdr:rowOff>47625</xdr:rowOff>
    </xdr:from>
    <xdr:to>
      <xdr:col>16</xdr:col>
      <xdr:colOff>276225</xdr:colOff>
      <xdr:row>18</xdr:row>
      <xdr:rowOff>52387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CDDE4CD-76E5-E24B-1283-AAECB3C7BA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28575</xdr:colOff>
      <xdr:row>14</xdr:row>
      <xdr:rowOff>9524</xdr:rowOff>
    </xdr:from>
    <xdr:to>
      <xdr:col>16</xdr:col>
      <xdr:colOff>333375</xdr:colOff>
      <xdr:row>21</xdr:row>
      <xdr:rowOff>61911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B17F221-79FB-174D-2BAC-ACF0DC886E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161925</xdr:colOff>
      <xdr:row>21</xdr:row>
      <xdr:rowOff>123825</xdr:rowOff>
    </xdr:from>
    <xdr:to>
      <xdr:col>16</xdr:col>
      <xdr:colOff>466725</xdr:colOff>
      <xdr:row>29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1AF05A1-76E6-82BA-7D06-0D2593DCB1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247650</xdr:colOff>
      <xdr:row>27</xdr:row>
      <xdr:rowOff>9524</xdr:rowOff>
    </xdr:from>
    <xdr:to>
      <xdr:col>16</xdr:col>
      <xdr:colOff>552450</xdr:colOff>
      <xdr:row>34</xdr:row>
      <xdr:rowOff>42861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9DF1EC5-10E3-812C-9D8F-AABE69AF3D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9525</xdr:colOff>
      <xdr:row>31</xdr:row>
      <xdr:rowOff>190499</xdr:rowOff>
    </xdr:from>
    <xdr:to>
      <xdr:col>16</xdr:col>
      <xdr:colOff>314325</xdr:colOff>
      <xdr:row>39</xdr:row>
      <xdr:rowOff>142875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663F34D-0250-D9C1-0E5A-5941D04E10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28575</xdr:colOff>
      <xdr:row>40</xdr:row>
      <xdr:rowOff>123824</xdr:rowOff>
    </xdr:from>
    <xdr:to>
      <xdr:col>16</xdr:col>
      <xdr:colOff>333375</xdr:colOff>
      <xdr:row>48</xdr:row>
      <xdr:rowOff>119061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0722BA4-8AA7-FB03-1306-4CA17C639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38100</xdr:colOff>
      <xdr:row>46</xdr:row>
      <xdr:rowOff>133350</xdr:rowOff>
    </xdr:from>
    <xdr:to>
      <xdr:col>16</xdr:col>
      <xdr:colOff>342900</xdr:colOff>
      <xdr:row>55</xdr:row>
      <xdr:rowOff>119062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4229361-533B-D891-26F5-B6A3B82676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19050</xdr:colOff>
      <xdr:row>52</xdr:row>
      <xdr:rowOff>57150</xdr:rowOff>
    </xdr:from>
    <xdr:to>
      <xdr:col>16</xdr:col>
      <xdr:colOff>323850</xdr:colOff>
      <xdr:row>60</xdr:row>
      <xdr:rowOff>157162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766D01D-8C5B-DC36-6BAD-C4200F968B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85725</xdr:colOff>
      <xdr:row>61</xdr:row>
      <xdr:rowOff>0</xdr:rowOff>
    </xdr:from>
    <xdr:to>
      <xdr:col>16</xdr:col>
      <xdr:colOff>390525</xdr:colOff>
      <xdr:row>70</xdr:row>
      <xdr:rowOff>119061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E6991A1-F739-2FF2-BCEC-F8A954B4DC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314325</xdr:colOff>
      <xdr:row>66</xdr:row>
      <xdr:rowOff>19049</xdr:rowOff>
    </xdr:from>
    <xdr:to>
      <xdr:col>18</xdr:col>
      <xdr:colOff>9525</xdr:colOff>
      <xdr:row>74</xdr:row>
      <xdr:rowOff>33336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26E2FB24-0B7B-424C-9834-4760FF2674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257175</xdr:colOff>
      <xdr:row>71</xdr:row>
      <xdr:rowOff>9524</xdr:rowOff>
    </xdr:from>
    <xdr:to>
      <xdr:col>16</xdr:col>
      <xdr:colOff>561975</xdr:colOff>
      <xdr:row>78</xdr:row>
      <xdr:rowOff>23811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BFD3A99-F081-99BA-64D9-E61F4BF5DC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66675</xdr:colOff>
      <xdr:row>78</xdr:row>
      <xdr:rowOff>166688</xdr:rowOff>
    </xdr:from>
    <xdr:to>
      <xdr:col>16</xdr:col>
      <xdr:colOff>371475</xdr:colOff>
      <xdr:row>87</xdr:row>
      <xdr:rowOff>85726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14D3B43-D714-C7FD-3FCC-31AE6C0351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180975</xdr:colOff>
      <xdr:row>85</xdr:row>
      <xdr:rowOff>104775</xdr:rowOff>
    </xdr:from>
    <xdr:to>
      <xdr:col>16</xdr:col>
      <xdr:colOff>485775</xdr:colOff>
      <xdr:row>94</xdr:row>
      <xdr:rowOff>185737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D32C929-3EC4-7029-9B7F-2F4FDC89FB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304800</xdr:colOff>
      <xdr:row>90</xdr:row>
      <xdr:rowOff>123824</xdr:rowOff>
    </xdr:from>
    <xdr:to>
      <xdr:col>17</xdr:col>
      <xdr:colOff>0</xdr:colOff>
      <xdr:row>99</xdr:row>
      <xdr:rowOff>119061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750A2BC-D6FF-B1C6-4714-55FE384B4E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95</xdr:row>
      <xdr:rowOff>0</xdr:rowOff>
    </xdr:from>
    <xdr:to>
      <xdr:col>18</xdr:col>
      <xdr:colOff>304800</xdr:colOff>
      <xdr:row>105</xdr:row>
      <xdr:rowOff>109538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BD8601-B2CA-4ACD-B927-F435874C3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106</xdr:row>
      <xdr:rowOff>0</xdr:rowOff>
    </xdr:from>
    <xdr:to>
      <xdr:col>17</xdr:col>
      <xdr:colOff>304800</xdr:colOff>
      <xdr:row>113</xdr:row>
      <xdr:rowOff>185738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0B2C6A-97FD-48B9-8FA2-36A11A0CB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542925</xdr:colOff>
      <xdr:row>2</xdr:row>
      <xdr:rowOff>104774</xdr:rowOff>
    </xdr:from>
    <xdr:to>
      <xdr:col>16</xdr:col>
      <xdr:colOff>238125</xdr:colOff>
      <xdr:row>11</xdr:row>
      <xdr:rowOff>152399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DCE484B-087F-8A11-B8F0-B279322488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180975</xdr:colOff>
      <xdr:row>10</xdr:row>
      <xdr:rowOff>76200</xdr:rowOff>
    </xdr:from>
    <xdr:to>
      <xdr:col>16</xdr:col>
      <xdr:colOff>485775</xdr:colOff>
      <xdr:row>19</xdr:row>
      <xdr:rowOff>80962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DA5AFEB-B816-D822-ACE1-B8B55A4F1D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361950</xdr:colOff>
      <xdr:row>15</xdr:row>
      <xdr:rowOff>19049</xdr:rowOff>
    </xdr:from>
    <xdr:to>
      <xdr:col>17</xdr:col>
      <xdr:colOff>57150</xdr:colOff>
      <xdr:row>25</xdr:row>
      <xdr:rowOff>14286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643C18-BD1A-105E-DCF2-68FA7B41B8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142875</xdr:colOff>
      <xdr:row>23</xdr:row>
      <xdr:rowOff>76200</xdr:rowOff>
    </xdr:from>
    <xdr:to>
      <xdr:col>16</xdr:col>
      <xdr:colOff>447675</xdr:colOff>
      <xdr:row>31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3CCAA5F-C545-5859-D568-52368385D2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295275</xdr:colOff>
      <xdr:row>27</xdr:row>
      <xdr:rowOff>166687</xdr:rowOff>
    </xdr:from>
    <xdr:to>
      <xdr:col>16</xdr:col>
      <xdr:colOff>600075</xdr:colOff>
      <xdr:row>38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0525EFC-A6FC-6435-2510-F30AA6AE56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409575</xdr:colOff>
      <xdr:row>33</xdr:row>
      <xdr:rowOff>28575</xdr:rowOff>
    </xdr:from>
    <xdr:to>
      <xdr:col>16</xdr:col>
      <xdr:colOff>590550</xdr:colOff>
      <xdr:row>40</xdr:row>
      <xdr:rowOff>171451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70776C-128F-7B9E-F12C-9C0787884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495300</xdr:colOff>
      <xdr:row>41</xdr:row>
      <xdr:rowOff>166687</xdr:rowOff>
    </xdr:from>
    <xdr:to>
      <xdr:col>16</xdr:col>
      <xdr:colOff>190500</xdr:colOff>
      <xdr:row>51</xdr:row>
      <xdr:rowOff>95250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DD4F082-CFF5-C30C-3C8A-EA2BAB224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9525</xdr:colOff>
      <xdr:row>47</xdr:row>
      <xdr:rowOff>104774</xdr:rowOff>
    </xdr:from>
    <xdr:to>
      <xdr:col>16</xdr:col>
      <xdr:colOff>314325</xdr:colOff>
      <xdr:row>56</xdr:row>
      <xdr:rowOff>119061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C9EEC0E-7269-FD80-D36C-18780E1C66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38100</xdr:colOff>
      <xdr:row>52</xdr:row>
      <xdr:rowOff>114301</xdr:rowOff>
    </xdr:from>
    <xdr:to>
      <xdr:col>16</xdr:col>
      <xdr:colOff>342900</xdr:colOff>
      <xdr:row>60</xdr:row>
      <xdr:rowOff>71437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4EB1299-EFC0-57B0-E94B-F53C773C4A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28575</xdr:colOff>
      <xdr:row>60</xdr:row>
      <xdr:rowOff>57150</xdr:rowOff>
    </xdr:from>
    <xdr:to>
      <xdr:col>16</xdr:col>
      <xdr:colOff>333375</xdr:colOff>
      <xdr:row>68</xdr:row>
      <xdr:rowOff>104776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73BF4A8-AE91-FC87-0A44-2BDA404B58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171450</xdr:colOff>
      <xdr:row>66</xdr:row>
      <xdr:rowOff>171450</xdr:rowOff>
    </xdr:from>
    <xdr:to>
      <xdr:col>16</xdr:col>
      <xdr:colOff>476250</xdr:colOff>
      <xdr:row>74</xdr:row>
      <xdr:rowOff>138112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E72458B-0B10-ED15-A063-4D7BB26854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200025</xdr:colOff>
      <xdr:row>71</xdr:row>
      <xdr:rowOff>85724</xdr:rowOff>
    </xdr:from>
    <xdr:to>
      <xdr:col>16</xdr:col>
      <xdr:colOff>504825</xdr:colOff>
      <xdr:row>78</xdr:row>
      <xdr:rowOff>114299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B3C3F8F-8141-3EE9-08C0-C849B18535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276225</xdr:colOff>
      <xdr:row>78</xdr:row>
      <xdr:rowOff>161924</xdr:rowOff>
    </xdr:from>
    <xdr:to>
      <xdr:col>16</xdr:col>
      <xdr:colOff>581025</xdr:colOff>
      <xdr:row>88</xdr:row>
      <xdr:rowOff>42861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048B2C5-6E50-DE2B-ED6D-71DB6F6847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171450</xdr:colOff>
      <xdr:row>82</xdr:row>
      <xdr:rowOff>114299</xdr:rowOff>
    </xdr:from>
    <xdr:to>
      <xdr:col>16</xdr:col>
      <xdr:colOff>476250</xdr:colOff>
      <xdr:row>91</xdr:row>
      <xdr:rowOff>109536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FF903C65-425C-7334-57C0-B37D29853D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285750</xdr:colOff>
      <xdr:row>88</xdr:row>
      <xdr:rowOff>19050</xdr:rowOff>
    </xdr:from>
    <xdr:to>
      <xdr:col>16</xdr:col>
      <xdr:colOff>590550</xdr:colOff>
      <xdr:row>96</xdr:row>
      <xdr:rowOff>157161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3B6F0E4-8C08-73BF-6B28-614BBE314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104</xdr:row>
      <xdr:rowOff>104775</xdr:rowOff>
    </xdr:from>
    <xdr:to>
      <xdr:col>17</xdr:col>
      <xdr:colOff>581025</xdr:colOff>
      <xdr:row>114</xdr:row>
      <xdr:rowOff>4763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3B41DF-C5DE-4D56-9F80-4FDB8CF0B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113</xdr:row>
      <xdr:rowOff>0</xdr:rowOff>
    </xdr:from>
    <xdr:to>
      <xdr:col>18</xdr:col>
      <xdr:colOff>304800</xdr:colOff>
      <xdr:row>121</xdr:row>
      <xdr:rowOff>100013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1C5A39-537D-4442-917B-8B228EDF9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123</xdr:row>
      <xdr:rowOff>0</xdr:rowOff>
    </xdr:from>
    <xdr:to>
      <xdr:col>17</xdr:col>
      <xdr:colOff>304800</xdr:colOff>
      <xdr:row>130</xdr:row>
      <xdr:rowOff>185738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2B0A8A-507D-47EB-9E64-A72CA6D72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304800</xdr:colOff>
      <xdr:row>0</xdr:row>
      <xdr:rowOff>157162</xdr:rowOff>
    </xdr:from>
    <xdr:to>
      <xdr:col>17</xdr:col>
      <xdr:colOff>0</xdr:colOff>
      <xdr:row>9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CD4091-212F-DEE8-C987-0BB616E635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390525</xdr:colOff>
      <xdr:row>8</xdr:row>
      <xdr:rowOff>90487</xdr:rowOff>
    </xdr:from>
    <xdr:to>
      <xdr:col>17</xdr:col>
      <xdr:colOff>85725</xdr:colOff>
      <xdr:row>16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DA3BB15-9683-D84C-9E2E-26108B688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209550</xdr:colOff>
      <xdr:row>13</xdr:row>
      <xdr:rowOff>185737</xdr:rowOff>
    </xdr:from>
    <xdr:to>
      <xdr:col>16</xdr:col>
      <xdr:colOff>514350</xdr:colOff>
      <xdr:row>22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1C7C562-36DB-943E-2929-DA77DFDFC4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95250</xdr:colOff>
      <xdr:row>23</xdr:row>
      <xdr:rowOff>90487</xdr:rowOff>
    </xdr:from>
    <xdr:to>
      <xdr:col>16</xdr:col>
      <xdr:colOff>400050</xdr:colOff>
      <xdr:row>33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315B65A-4A37-4BDF-E855-31BC920EBA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219075</xdr:colOff>
      <xdr:row>29</xdr:row>
      <xdr:rowOff>180975</xdr:rowOff>
    </xdr:from>
    <xdr:to>
      <xdr:col>16</xdr:col>
      <xdr:colOff>523875</xdr:colOff>
      <xdr:row>39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96D85C5-C0A7-E558-8583-B7922F34BC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304800</xdr:colOff>
      <xdr:row>36</xdr:row>
      <xdr:rowOff>66675</xdr:rowOff>
    </xdr:from>
    <xdr:to>
      <xdr:col>17</xdr:col>
      <xdr:colOff>0</xdr:colOff>
      <xdr:row>45</xdr:row>
      <xdr:rowOff>95250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8DC6E68-40C5-B7D4-163A-B234A34127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266700</xdr:colOff>
      <xdr:row>46</xdr:row>
      <xdr:rowOff>128587</xdr:rowOff>
    </xdr:from>
    <xdr:to>
      <xdr:col>16</xdr:col>
      <xdr:colOff>571500</xdr:colOff>
      <xdr:row>55</xdr:row>
      <xdr:rowOff>142875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765A22A-DFBD-0C23-E235-C75F95BB9D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228600</xdr:colOff>
      <xdr:row>51</xdr:row>
      <xdr:rowOff>171450</xdr:rowOff>
    </xdr:from>
    <xdr:to>
      <xdr:col>16</xdr:col>
      <xdr:colOff>533400</xdr:colOff>
      <xdr:row>60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D5C8569-0B41-3FF6-624C-324AB3E204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352425</xdr:colOff>
      <xdr:row>56</xdr:row>
      <xdr:rowOff>161925</xdr:rowOff>
    </xdr:from>
    <xdr:to>
      <xdr:col>17</xdr:col>
      <xdr:colOff>47625</xdr:colOff>
      <xdr:row>65</xdr:row>
      <xdr:rowOff>57151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17653A7-FDD9-91BD-F7D7-1AF0B1F8C6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419100</xdr:colOff>
      <xdr:row>65</xdr:row>
      <xdr:rowOff>185737</xdr:rowOff>
    </xdr:from>
    <xdr:to>
      <xdr:col>16</xdr:col>
      <xdr:colOff>285750</xdr:colOff>
      <xdr:row>74</xdr:row>
      <xdr:rowOff>123825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F95E805-CA7F-6256-32DA-02DA2D94C2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542925</xdr:colOff>
      <xdr:row>72</xdr:row>
      <xdr:rowOff>0</xdr:rowOff>
    </xdr:from>
    <xdr:to>
      <xdr:col>17</xdr:col>
      <xdr:colOff>238125</xdr:colOff>
      <xdr:row>80</xdr:row>
      <xdr:rowOff>4762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6033DE44-D1B8-7287-7D6F-66D55AB6F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66674</xdr:colOff>
      <xdr:row>76</xdr:row>
      <xdr:rowOff>95249</xdr:rowOff>
    </xdr:from>
    <xdr:to>
      <xdr:col>17</xdr:col>
      <xdr:colOff>228599</xdr:colOff>
      <xdr:row>84</xdr:row>
      <xdr:rowOff>166686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7759D61-02EC-F7E2-90CE-2B0C27A2A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123825</xdr:colOff>
      <xdr:row>85</xdr:row>
      <xdr:rowOff>57149</xdr:rowOff>
    </xdr:from>
    <xdr:to>
      <xdr:col>17</xdr:col>
      <xdr:colOff>428625</xdr:colOff>
      <xdr:row>94</xdr:row>
      <xdr:rowOff>33336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F6D84D7-4F39-D39B-2695-B7AE8BE36B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228600</xdr:colOff>
      <xdr:row>90</xdr:row>
      <xdr:rowOff>133350</xdr:rowOff>
    </xdr:from>
    <xdr:to>
      <xdr:col>17</xdr:col>
      <xdr:colOff>533400</xdr:colOff>
      <xdr:row>97</xdr:row>
      <xdr:rowOff>157162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DED0CB5A-D851-CFEC-68D9-62C6F36E5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295275</xdr:colOff>
      <xdr:row>96</xdr:row>
      <xdr:rowOff>133349</xdr:rowOff>
    </xdr:from>
    <xdr:to>
      <xdr:col>17</xdr:col>
      <xdr:colOff>600075</xdr:colOff>
      <xdr:row>103</xdr:row>
      <xdr:rowOff>147636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41912FC1-0247-7ACE-57A4-C667BCC384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Calendula%20excel\Raw_Material_C_Arvensis.xlsx" TargetMode="External"/><Relationship Id="rId1" Type="http://schemas.openxmlformats.org/officeDocument/2006/relationships/externalLinkPath" Target="/Users/Admin/Desktop/Calendula%20excel/Raw_Material_C_Arven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YR"/>
      <sheetName val="Colagenase"/>
      <sheetName val="ELASTASE"/>
      <sheetName val="TPC-TFC-CN-Yield-antioxy"/>
      <sheetName val="SPF"/>
    </sheetNames>
    <sheetDataSet>
      <sheetData sheetId="0">
        <row r="123">
          <cell r="D123">
            <v>0.25</v>
          </cell>
          <cell r="E123">
            <v>0.125</v>
          </cell>
          <cell r="F123">
            <v>0.06</v>
          </cell>
          <cell r="G123">
            <v>0.03</v>
          </cell>
        </row>
        <row r="127">
          <cell r="D127">
            <v>83.231083844580795</v>
          </cell>
          <cell r="E127">
            <v>66.359918200408998</v>
          </cell>
          <cell r="F127">
            <v>48.057259713701427</v>
          </cell>
        </row>
        <row r="131">
          <cell r="E131">
            <v>65.235173824130882</v>
          </cell>
          <cell r="F131">
            <v>53.885480572597132</v>
          </cell>
          <cell r="G131">
            <v>24.437627811860942</v>
          </cell>
        </row>
        <row r="135">
          <cell r="E135">
            <v>60.429447852760731</v>
          </cell>
          <cell r="F135">
            <v>52.658486707566453</v>
          </cell>
          <cell r="G135">
            <v>27.198364008179958</v>
          </cell>
        </row>
      </sheetData>
      <sheetData sheetId="1">
        <row r="121">
          <cell r="D121">
            <v>0.25</v>
          </cell>
          <cell r="E121">
            <v>0.125</v>
          </cell>
          <cell r="F121">
            <v>0.06</v>
          </cell>
          <cell r="G121">
            <v>0.03</v>
          </cell>
        </row>
        <row r="125">
          <cell r="D125">
            <v>75.528700906344397</v>
          </cell>
          <cell r="E125">
            <v>60.725075528700913</v>
          </cell>
          <cell r="F125">
            <v>53.021148036253777</v>
          </cell>
          <cell r="G125">
            <v>32.024169184290024</v>
          </cell>
        </row>
        <row r="129">
          <cell r="D129">
            <v>75.075528700906332</v>
          </cell>
          <cell r="E129">
            <v>61.027190332326285</v>
          </cell>
          <cell r="F129">
            <v>51.057401812688816</v>
          </cell>
          <cell r="G129">
            <v>31.873111782477338</v>
          </cell>
        </row>
      </sheetData>
      <sheetData sheetId="2">
        <row r="118">
          <cell r="D118">
            <v>0.25</v>
          </cell>
          <cell r="E118">
            <v>0.125</v>
          </cell>
          <cell r="F118">
            <v>0.06</v>
          </cell>
          <cell r="G118">
            <v>0.03</v>
          </cell>
        </row>
        <row r="122">
          <cell r="D122">
            <v>66.620305980528514</v>
          </cell>
          <cell r="E122">
            <v>52.433936022253135</v>
          </cell>
          <cell r="F122">
            <v>46.870653685674547</v>
          </cell>
          <cell r="G122">
            <v>33.101529902642554</v>
          </cell>
        </row>
        <row r="126">
          <cell r="D126">
            <v>67.454798331015297</v>
          </cell>
          <cell r="E126">
            <v>51.87760778859527</v>
          </cell>
          <cell r="F126">
            <v>45.897079276773304</v>
          </cell>
          <cell r="G126">
            <v>31.154381084840054</v>
          </cell>
        </row>
        <row r="130">
          <cell r="D130">
            <v>66.203059805285108</v>
          </cell>
          <cell r="E130">
            <v>54.520166898470102</v>
          </cell>
          <cell r="F130">
            <v>45.618915159944379</v>
          </cell>
          <cell r="G130">
            <v>34.214186369958277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C2BCB-40C0-4A93-82F8-07B456C22989}">
  <dimension ref="A1:I111"/>
  <sheetViews>
    <sheetView tabSelected="1" workbookViewId="0">
      <selection activeCell="C97" sqref="C97:F97"/>
    </sheetView>
  </sheetViews>
  <sheetFormatPr defaultRowHeight="15" x14ac:dyDescent="0.25"/>
  <cols>
    <col min="1" max="16384" width="9.140625" style="8"/>
  </cols>
  <sheetData>
    <row r="1" spans="1:8" x14ac:dyDescent="0.25">
      <c r="A1" s="14" t="s">
        <v>27</v>
      </c>
      <c r="B1" s="14"/>
      <c r="C1" s="14"/>
      <c r="D1" s="14"/>
      <c r="E1" s="14"/>
      <c r="F1" s="14"/>
    </row>
    <row r="2" spans="1:8" x14ac:dyDescent="0.25">
      <c r="B2" s="8" t="s">
        <v>4</v>
      </c>
    </row>
    <row r="3" spans="1:8" x14ac:dyDescent="0.25">
      <c r="C3" s="8" t="s">
        <v>5</v>
      </c>
      <c r="D3" s="8">
        <v>2.3570000000000002</v>
      </c>
    </row>
    <row r="4" spans="1:8" x14ac:dyDescent="0.25">
      <c r="C4" s="8" t="s">
        <v>6</v>
      </c>
      <c r="D4" s="8">
        <v>9.5000000000000001E-2</v>
      </c>
      <c r="E4" s="8">
        <f>D3-D4</f>
        <v>2.262</v>
      </c>
    </row>
    <row r="5" spans="1:8" x14ac:dyDescent="0.25">
      <c r="A5" s="8" t="s">
        <v>7</v>
      </c>
      <c r="B5" s="8">
        <v>2</v>
      </c>
      <c r="C5" s="8">
        <v>1</v>
      </c>
      <c r="D5" s="8">
        <v>0.5</v>
      </c>
      <c r="E5" s="8">
        <v>0.25</v>
      </c>
      <c r="F5" s="8">
        <v>0.12</v>
      </c>
    </row>
    <row r="6" spans="1:8" x14ac:dyDescent="0.25">
      <c r="A6" s="8" t="s">
        <v>8</v>
      </c>
      <c r="B6" s="8">
        <v>2.2839999999999998</v>
      </c>
      <c r="C6" s="8">
        <v>1.7330000000000001</v>
      </c>
      <c r="D6" s="8">
        <v>1.8560000000000001</v>
      </c>
      <c r="E6" s="8">
        <v>2.0539999999999998</v>
      </c>
      <c r="F6" s="8">
        <v>2.036</v>
      </c>
    </row>
    <row r="7" spans="1:8" x14ac:dyDescent="0.25">
      <c r="A7" s="8" t="s">
        <v>25</v>
      </c>
      <c r="B7" s="8">
        <v>1.6339999999999999</v>
      </c>
      <c r="C7" s="8">
        <v>0.93899999999999995</v>
      </c>
      <c r="D7" s="8">
        <v>0.54800000000000004</v>
      </c>
      <c r="E7" s="8">
        <v>0.32600000000000001</v>
      </c>
      <c r="F7" s="8">
        <v>0.218</v>
      </c>
    </row>
    <row r="8" spans="1:8" x14ac:dyDescent="0.25">
      <c r="A8" s="8" t="s">
        <v>10</v>
      </c>
      <c r="B8" s="8">
        <f>B6-B7</f>
        <v>0.64999999999999991</v>
      </c>
      <c r="C8" s="8">
        <f t="shared" ref="C8:F8" si="0">C6-C7</f>
        <v>0.79400000000000015</v>
      </c>
      <c r="D8" s="8">
        <f t="shared" si="0"/>
        <v>1.3080000000000001</v>
      </c>
      <c r="E8" s="8">
        <f t="shared" si="0"/>
        <v>1.7279999999999998</v>
      </c>
      <c r="F8" s="8">
        <f t="shared" si="0"/>
        <v>1.8180000000000001</v>
      </c>
    </row>
    <row r="9" spans="1:8" x14ac:dyDescent="0.25">
      <c r="A9" s="8" t="s">
        <v>11</v>
      </c>
      <c r="B9" s="8">
        <f>($E4-B8)/$E4*100</f>
        <v>71.264367816091962</v>
      </c>
      <c r="C9" s="8">
        <f t="shared" ref="C9:F9" si="1">($E4-C8)/$E4*100</f>
        <v>64.89832007073386</v>
      </c>
      <c r="D9" s="8">
        <f t="shared" si="1"/>
        <v>42.175066312997345</v>
      </c>
      <c r="E9" s="8">
        <f t="shared" si="1"/>
        <v>23.607427055702928</v>
      </c>
      <c r="F9" s="8">
        <f t="shared" si="1"/>
        <v>19.628647214854109</v>
      </c>
      <c r="G9" s="8" t="s">
        <v>30</v>
      </c>
      <c r="H9" s="8">
        <f>(50-22.646)/27.996</f>
        <v>0.97706815259322766</v>
      </c>
    </row>
    <row r="10" spans="1:8" x14ac:dyDescent="0.25">
      <c r="A10" s="8" t="s">
        <v>13</v>
      </c>
      <c r="B10" s="8">
        <v>2.4049999999999998</v>
      </c>
      <c r="C10" s="8">
        <v>1.7849999999999999</v>
      </c>
      <c r="D10" s="8">
        <v>1.84</v>
      </c>
      <c r="E10" s="8">
        <v>1.649</v>
      </c>
      <c r="F10" s="8">
        <v>2.044</v>
      </c>
    </row>
    <row r="11" spans="1:8" x14ac:dyDescent="0.25">
      <c r="A11" s="8" t="s">
        <v>25</v>
      </c>
      <c r="B11" s="8">
        <v>1.6339999999999999</v>
      </c>
      <c r="C11" s="8">
        <v>0.93899999999999995</v>
      </c>
      <c r="D11" s="8">
        <v>0.54800000000000004</v>
      </c>
      <c r="E11" s="8">
        <v>0.32600000000000001</v>
      </c>
      <c r="F11" s="8">
        <v>0.218</v>
      </c>
    </row>
    <row r="12" spans="1:8" x14ac:dyDescent="0.25">
      <c r="A12" s="8" t="s">
        <v>14</v>
      </c>
      <c r="B12" s="8">
        <f>B10-B11</f>
        <v>0.77099999999999991</v>
      </c>
      <c r="C12" s="8">
        <f t="shared" ref="C12:F12" si="2">C10-C11</f>
        <v>0.84599999999999997</v>
      </c>
      <c r="D12" s="8">
        <f t="shared" si="2"/>
        <v>1.292</v>
      </c>
      <c r="E12" s="8">
        <f t="shared" si="2"/>
        <v>1.323</v>
      </c>
      <c r="F12" s="8">
        <f t="shared" si="2"/>
        <v>1.8260000000000001</v>
      </c>
    </row>
    <row r="13" spans="1:8" x14ac:dyDescent="0.25">
      <c r="A13" s="8" t="s">
        <v>15</v>
      </c>
      <c r="B13" s="8">
        <f>($E4-B12)/$E4*100</f>
        <v>65.91511936339522</v>
      </c>
      <c r="C13" s="8">
        <f t="shared" ref="C13:F13" si="3">($E4-C12)/$E4*100</f>
        <v>62.599469496021221</v>
      </c>
      <c r="D13" s="8">
        <f t="shared" si="3"/>
        <v>42.882404951370468</v>
      </c>
      <c r="E13" s="8">
        <f t="shared" si="3"/>
        <v>41.511936339522549</v>
      </c>
      <c r="F13" s="8">
        <f t="shared" si="3"/>
        <v>19.274977895667547</v>
      </c>
      <c r="G13" s="8" t="s">
        <v>31</v>
      </c>
      <c r="H13" s="8">
        <f>(50-21.944)/41.975</f>
        <v>0.66839785586658729</v>
      </c>
    </row>
    <row r="14" spans="1:8" x14ac:dyDescent="0.25">
      <c r="A14" s="8" t="s">
        <v>17</v>
      </c>
      <c r="B14" s="8">
        <v>1.861</v>
      </c>
      <c r="C14" s="8">
        <v>1.8029999999999999</v>
      </c>
      <c r="D14" s="8">
        <v>1.748</v>
      </c>
      <c r="E14" s="8">
        <v>1.9810000000000001</v>
      </c>
      <c r="F14" s="8">
        <v>2.0139999999999998</v>
      </c>
    </row>
    <row r="15" spans="1:8" x14ac:dyDescent="0.25">
      <c r="A15" s="8" t="s">
        <v>25</v>
      </c>
      <c r="B15" s="8">
        <v>1.6339999999999999</v>
      </c>
      <c r="C15" s="8">
        <v>0.93899999999999995</v>
      </c>
      <c r="D15" s="8">
        <v>0.54800000000000004</v>
      </c>
      <c r="E15" s="8">
        <v>0.32600000000000001</v>
      </c>
      <c r="F15" s="8">
        <v>0.218</v>
      </c>
    </row>
    <row r="16" spans="1:8" x14ac:dyDescent="0.25">
      <c r="A16" s="8" t="s">
        <v>18</v>
      </c>
      <c r="B16" s="8">
        <f>B14-B15</f>
        <v>0.22700000000000009</v>
      </c>
      <c r="C16" s="8">
        <f>C14-C15</f>
        <v>0.86399999999999999</v>
      </c>
      <c r="D16" s="8">
        <f t="shared" ref="C16:F16" si="4">D14-D15</f>
        <v>1.2</v>
      </c>
      <c r="E16" s="8">
        <f t="shared" si="4"/>
        <v>1.655</v>
      </c>
      <c r="F16" s="8">
        <f t="shared" si="4"/>
        <v>1.7959999999999998</v>
      </c>
    </row>
    <row r="17" spans="1:8" x14ac:dyDescent="0.25">
      <c r="A17" s="8" t="s">
        <v>19</v>
      </c>
      <c r="B17" s="8">
        <f>($E4-B16)/$E4*100</f>
        <v>89.964633068081341</v>
      </c>
      <c r="C17" s="8">
        <f t="shared" ref="C17:F17" si="5">($E4-C16)/$E4*100</f>
        <v>61.803713527851464</v>
      </c>
      <c r="D17" s="8">
        <f t="shared" si="5"/>
        <v>46.949602122015918</v>
      </c>
      <c r="E17" s="8">
        <f t="shared" si="5"/>
        <v>26.834659593280279</v>
      </c>
      <c r="F17" s="8">
        <f t="shared" si="5"/>
        <v>20.601237842617163</v>
      </c>
      <c r="G17" s="8" t="s">
        <v>32</v>
      </c>
      <c r="H17" s="8">
        <f>(50-21.39)/35.97</f>
        <v>0.79538504309146507</v>
      </c>
    </row>
    <row r="18" spans="1:8" x14ac:dyDescent="0.25">
      <c r="A18" s="8" t="s">
        <v>21</v>
      </c>
      <c r="B18" s="8">
        <f>STDEV(B9,B13,B17)</f>
        <v>12.627308296804706</v>
      </c>
      <c r="C18" s="8">
        <f t="shared" ref="C18:F18" si="6">STDEV(C9,C13,C17)</f>
        <v>1.606991556759864</v>
      </c>
      <c r="D18" s="8">
        <f t="shared" si="6"/>
        <v>2.5767748888174968</v>
      </c>
      <c r="E18" s="8">
        <f t="shared" si="6"/>
        <v>9.5429636838856791</v>
      </c>
      <c r="F18" s="8">
        <f t="shared" si="6"/>
        <v>0.68677749470858651</v>
      </c>
      <c r="G18" s="13" t="s">
        <v>33</v>
      </c>
      <c r="H18" s="13">
        <f>STDEV(H9,H13,H17)</f>
        <v>0.15514071573834096</v>
      </c>
    </row>
    <row r="19" spans="1:8" x14ac:dyDescent="0.25">
      <c r="A19" s="8" t="s">
        <v>23</v>
      </c>
      <c r="B19" s="8">
        <f>AVERAGE(B9,B13,B17)</f>
        <v>75.714706749189517</v>
      </c>
      <c r="C19" s="8">
        <f t="shared" ref="C19:F19" si="7">AVERAGE(C9,C13,C17)</f>
        <v>63.100501031535515</v>
      </c>
      <c r="D19" s="8">
        <f t="shared" si="7"/>
        <v>44.002357795461251</v>
      </c>
      <c r="E19" s="8">
        <f t="shared" si="7"/>
        <v>30.651340996168585</v>
      </c>
      <c r="F19" s="8">
        <f t="shared" si="7"/>
        <v>19.834954317712942</v>
      </c>
      <c r="G19" s="13" t="s">
        <v>34</v>
      </c>
      <c r="H19" s="13">
        <f>AVERAGE(H9,H13,H17)</f>
        <v>0.81361701718376001</v>
      </c>
    </row>
    <row r="20" spans="1:8" x14ac:dyDescent="0.25">
      <c r="C20" s="8" t="s">
        <v>2</v>
      </c>
    </row>
    <row r="21" spans="1:8" x14ac:dyDescent="0.25">
      <c r="C21" s="8" t="s">
        <v>5</v>
      </c>
      <c r="D21" s="8">
        <v>2.645</v>
      </c>
    </row>
    <row r="22" spans="1:8" x14ac:dyDescent="0.25">
      <c r="C22" s="8" t="s">
        <v>6</v>
      </c>
      <c r="D22" s="8">
        <v>8.2000000000000003E-2</v>
      </c>
      <c r="E22" s="8">
        <f>D21-D22</f>
        <v>2.5630000000000002</v>
      </c>
    </row>
    <row r="23" spans="1:8" x14ac:dyDescent="0.25">
      <c r="A23" s="8" t="s">
        <v>7</v>
      </c>
      <c r="B23" s="8">
        <v>2</v>
      </c>
      <c r="C23" s="8">
        <v>1</v>
      </c>
      <c r="D23" s="8">
        <v>0.5</v>
      </c>
      <c r="E23" s="8">
        <v>0.25</v>
      </c>
      <c r="F23" s="8">
        <v>0.12</v>
      </c>
    </row>
    <row r="24" spans="1:8" x14ac:dyDescent="0.25">
      <c r="A24" s="8" t="s">
        <v>8</v>
      </c>
      <c r="B24" s="8">
        <v>2.2759999999999998</v>
      </c>
      <c r="C24" s="8">
        <v>1.337</v>
      </c>
      <c r="D24" s="8">
        <v>1.9930000000000001</v>
      </c>
      <c r="E24" s="8">
        <v>1.5429999999999999</v>
      </c>
      <c r="F24" s="8">
        <v>1.5640000000000001</v>
      </c>
    </row>
    <row r="25" spans="1:8" x14ac:dyDescent="0.25">
      <c r="A25" s="8" t="s">
        <v>25</v>
      </c>
      <c r="B25" s="8">
        <v>1.6579999999999999</v>
      </c>
      <c r="C25" s="8">
        <v>0.51200000000000001</v>
      </c>
      <c r="D25" s="8">
        <v>0.94399999999999995</v>
      </c>
      <c r="E25" s="8">
        <v>0.30199999999999999</v>
      </c>
      <c r="F25" s="8">
        <v>0.20399999999999999</v>
      </c>
    </row>
    <row r="26" spans="1:8" x14ac:dyDescent="0.25">
      <c r="A26" s="8" t="s">
        <v>10</v>
      </c>
      <c r="B26" s="8">
        <f>B24-B25</f>
        <v>0.61799999999999988</v>
      </c>
      <c r="C26" s="8">
        <f t="shared" ref="C26:F26" si="8">C24-C25</f>
        <v>0.82499999999999996</v>
      </c>
      <c r="D26" s="8">
        <f t="shared" si="8"/>
        <v>1.0490000000000002</v>
      </c>
      <c r="E26" s="8">
        <f t="shared" si="8"/>
        <v>1.2409999999999999</v>
      </c>
      <c r="F26" s="8">
        <f t="shared" si="8"/>
        <v>1.36</v>
      </c>
    </row>
    <row r="27" spans="1:8" x14ac:dyDescent="0.25">
      <c r="A27" s="8" t="s">
        <v>11</v>
      </c>
      <c r="B27" s="8">
        <f>($E22-B26)/$E22*100</f>
        <v>75.887631681623105</v>
      </c>
      <c r="C27" s="8">
        <f t="shared" ref="C27:F27" si="9">($E22-C26)/$E22*100</f>
        <v>67.811158798283273</v>
      </c>
      <c r="D27" s="8">
        <f t="shared" si="9"/>
        <v>59.071400702301993</v>
      </c>
      <c r="E27" s="8">
        <f t="shared" si="9"/>
        <v>51.580179477175193</v>
      </c>
      <c r="F27" s="8">
        <f t="shared" si="9"/>
        <v>46.93718298868513</v>
      </c>
      <c r="G27" s="8" t="s">
        <v>30</v>
      </c>
      <c r="H27" s="8">
        <f>(50-48.82)/14.777</f>
        <v>7.9853826893144741E-2</v>
      </c>
    </row>
    <row r="28" spans="1:8" x14ac:dyDescent="0.25">
      <c r="A28" s="8" t="s">
        <v>13</v>
      </c>
      <c r="B28" s="8">
        <v>2.117</v>
      </c>
      <c r="C28" s="8">
        <v>1.304</v>
      </c>
      <c r="D28" s="8">
        <v>1.825</v>
      </c>
      <c r="E28" s="8">
        <v>1.5980000000000001</v>
      </c>
      <c r="F28" s="8">
        <v>1.5529999999999999</v>
      </c>
    </row>
    <row r="29" spans="1:8" x14ac:dyDescent="0.25">
      <c r="A29" s="8" t="s">
        <v>25</v>
      </c>
      <c r="B29" s="8">
        <v>1.6579999999999999</v>
      </c>
      <c r="C29" s="8">
        <v>0.51200000000000001</v>
      </c>
      <c r="D29" s="8">
        <v>0.94399999999999995</v>
      </c>
      <c r="E29" s="8">
        <v>0.30199999999999999</v>
      </c>
      <c r="F29" s="8">
        <v>0.20399999999999999</v>
      </c>
    </row>
    <row r="30" spans="1:8" x14ac:dyDescent="0.25">
      <c r="A30" s="8" t="s">
        <v>14</v>
      </c>
      <c r="B30" s="8">
        <f>B28-B29</f>
        <v>0.45900000000000007</v>
      </c>
      <c r="C30" s="8">
        <f t="shared" ref="C30:F30" si="10">C28-C29</f>
        <v>0.79200000000000004</v>
      </c>
      <c r="D30" s="8">
        <f t="shared" si="10"/>
        <v>0.88100000000000001</v>
      </c>
      <c r="E30" s="8">
        <f t="shared" si="10"/>
        <v>1.296</v>
      </c>
      <c r="F30" s="8">
        <f t="shared" si="10"/>
        <v>1.349</v>
      </c>
    </row>
    <row r="31" spans="1:8" x14ac:dyDescent="0.25">
      <c r="A31" s="8" t="s">
        <v>15</v>
      </c>
      <c r="B31" s="8">
        <f>($E22-B30)/$E22*100</f>
        <v>82.091299258681232</v>
      </c>
      <c r="C31" s="8">
        <f t="shared" ref="C31:F31" si="11">($E22-C30)/$E22*100</f>
        <v>69.098712446351925</v>
      </c>
      <c r="D31" s="8">
        <f t="shared" si="11"/>
        <v>65.626219274287948</v>
      </c>
      <c r="E31" s="8">
        <f t="shared" si="11"/>
        <v>49.434256730394068</v>
      </c>
      <c r="F31" s="8">
        <f t="shared" si="11"/>
        <v>47.366367538041359</v>
      </c>
      <c r="G31" s="8" t="s">
        <v>31</v>
      </c>
      <c r="H31" s="8">
        <f>(50-48.981)/17.756</f>
        <v>5.7389051588195447E-2</v>
      </c>
    </row>
    <row r="32" spans="1:8" x14ac:dyDescent="0.25">
      <c r="A32" s="8" t="s">
        <v>17</v>
      </c>
      <c r="B32" s="8">
        <v>2.3460000000000001</v>
      </c>
      <c r="C32" s="8">
        <v>1.3180000000000001</v>
      </c>
      <c r="D32" s="8">
        <v>1.958</v>
      </c>
      <c r="E32" s="8">
        <v>1.75</v>
      </c>
      <c r="F32" s="8">
        <v>1.601</v>
      </c>
    </row>
    <row r="33" spans="1:8" x14ac:dyDescent="0.25">
      <c r="A33" s="8" t="s">
        <v>25</v>
      </c>
      <c r="B33" s="8">
        <v>1.6579999999999999</v>
      </c>
      <c r="C33" s="8">
        <v>0.51200000000000001</v>
      </c>
      <c r="D33" s="8">
        <v>0.94399999999999995</v>
      </c>
      <c r="E33" s="8">
        <v>0.30199999999999999</v>
      </c>
      <c r="F33" s="8">
        <v>0.20399999999999999</v>
      </c>
    </row>
    <row r="34" spans="1:8" x14ac:dyDescent="0.25">
      <c r="A34" s="8" t="s">
        <v>18</v>
      </c>
      <c r="B34" s="8">
        <f>B32-B33</f>
        <v>0.68800000000000017</v>
      </c>
      <c r="C34" s="8">
        <f t="shared" ref="C34:F34" si="12">C32-C33</f>
        <v>0.80600000000000005</v>
      </c>
      <c r="D34" s="8">
        <f t="shared" si="12"/>
        <v>1.014</v>
      </c>
      <c r="E34" s="8">
        <f t="shared" si="12"/>
        <v>1.448</v>
      </c>
      <c r="F34" s="8">
        <f t="shared" si="12"/>
        <v>1.397</v>
      </c>
    </row>
    <row r="35" spans="1:8" x14ac:dyDescent="0.25">
      <c r="A35" s="8" t="s">
        <v>19</v>
      </c>
      <c r="B35" s="8">
        <f>($E22-B34)/$E22*100</f>
        <v>73.156457276628956</v>
      </c>
      <c r="C35" s="8">
        <f t="shared" ref="C35:F35" si="13">($E22-C34)/$E22*100</f>
        <v>68.552477565353101</v>
      </c>
      <c r="D35" s="8">
        <f t="shared" si="13"/>
        <v>60.436987904799068</v>
      </c>
      <c r="E35" s="8">
        <f t="shared" si="13"/>
        <v>43.503706593835354</v>
      </c>
      <c r="F35" s="8">
        <f t="shared" si="13"/>
        <v>45.493562231759661</v>
      </c>
      <c r="G35" s="8" t="s">
        <v>32</v>
      </c>
      <c r="H35" s="8">
        <f>(50-46.253)/15.472</f>
        <v>0.24217942088934849</v>
      </c>
    </row>
    <row r="36" spans="1:8" x14ac:dyDescent="0.25">
      <c r="A36" s="8" t="s">
        <v>21</v>
      </c>
      <c r="B36" s="8">
        <f>STDEV(B27,B31,B35)</f>
        <v>4.5785042368547479</v>
      </c>
      <c r="C36" s="8">
        <f t="shared" ref="C36:F36" si="14">STDEV(C27,C31,C35)</f>
        <v>0.64623531012119506</v>
      </c>
      <c r="D36" s="8">
        <f t="shared" si="14"/>
        <v>3.4582894886866447</v>
      </c>
      <c r="E36" s="8">
        <f t="shared" si="14"/>
        <v>4.1834161398055416</v>
      </c>
      <c r="F36" s="8">
        <f t="shared" si="14"/>
        <v>0.98112520288943927</v>
      </c>
      <c r="G36" s="13" t="s">
        <v>33</v>
      </c>
      <c r="H36" s="13">
        <f>STDEV(H27,H31,H35)</f>
        <v>0.10083133208662438</v>
      </c>
    </row>
    <row r="37" spans="1:8" x14ac:dyDescent="0.25">
      <c r="A37" s="8" t="s">
        <v>23</v>
      </c>
      <c r="B37" s="8">
        <f>AVERAGE(B27,B31,B35)</f>
        <v>77.045129405644431</v>
      </c>
      <c r="C37" s="8">
        <f t="shared" ref="C37:F37" si="15">AVERAGE(C27,C31,C35)</f>
        <v>68.487449603329438</v>
      </c>
      <c r="D37" s="8">
        <f t="shared" si="15"/>
        <v>61.711535960463003</v>
      </c>
      <c r="E37" s="8">
        <f t="shared" si="15"/>
        <v>48.172714267134872</v>
      </c>
      <c r="F37" s="8">
        <f t="shared" si="15"/>
        <v>46.599037586162048</v>
      </c>
      <c r="G37" s="13" t="s">
        <v>34</v>
      </c>
      <c r="H37" s="13">
        <f>AVERAGE(H27,H31,H35)</f>
        <v>0.12647409979022958</v>
      </c>
    </row>
    <row r="38" spans="1:8" x14ac:dyDescent="0.25">
      <c r="C38" s="8" t="s">
        <v>3</v>
      </c>
    </row>
    <row r="39" spans="1:8" x14ac:dyDescent="0.25">
      <c r="C39" s="8" t="s">
        <v>5</v>
      </c>
      <c r="D39" s="8">
        <v>2.214</v>
      </c>
    </row>
    <row r="40" spans="1:8" x14ac:dyDescent="0.25">
      <c r="C40" s="8" t="s">
        <v>6</v>
      </c>
      <c r="D40" s="8">
        <v>8.1000000000000003E-2</v>
      </c>
      <c r="E40" s="8">
        <f>D39-D40</f>
        <v>2.133</v>
      </c>
    </row>
    <row r="41" spans="1:8" x14ac:dyDescent="0.25">
      <c r="A41" s="8" t="s">
        <v>7</v>
      </c>
      <c r="B41" s="8">
        <v>2</v>
      </c>
      <c r="C41" s="8">
        <v>1</v>
      </c>
      <c r="D41" s="8">
        <v>0.5</v>
      </c>
      <c r="E41" s="8">
        <v>0.25</v>
      </c>
      <c r="F41" s="8">
        <v>0.12</v>
      </c>
    </row>
    <row r="42" spans="1:8" x14ac:dyDescent="0.25">
      <c r="A42" s="8" t="s">
        <v>8</v>
      </c>
      <c r="B42" s="8">
        <v>0.94799999999999995</v>
      </c>
      <c r="C42" s="8">
        <v>1.367</v>
      </c>
      <c r="D42" s="8">
        <v>2.028</v>
      </c>
      <c r="E42" s="8">
        <v>2.2400000000000002</v>
      </c>
      <c r="F42" s="8">
        <v>2.1030000000000002</v>
      </c>
    </row>
    <row r="43" spans="1:8" x14ac:dyDescent="0.25">
      <c r="A43" s="8" t="s">
        <v>25</v>
      </c>
      <c r="B43" s="8">
        <v>0.21</v>
      </c>
      <c r="C43" s="8">
        <v>0.27600000000000002</v>
      </c>
      <c r="D43" s="8">
        <v>0.68600000000000005</v>
      </c>
      <c r="E43" s="8">
        <v>0.51400000000000001</v>
      </c>
      <c r="F43" s="8">
        <v>0.58699999999999997</v>
      </c>
    </row>
    <row r="44" spans="1:8" x14ac:dyDescent="0.25">
      <c r="A44" s="8" t="s">
        <v>10</v>
      </c>
      <c r="B44" s="8">
        <f>B42-B43</f>
        <v>0.73799999999999999</v>
      </c>
      <c r="C44" s="8">
        <f t="shared" ref="C44:F44" si="16">C42-C43</f>
        <v>1.091</v>
      </c>
      <c r="D44" s="8">
        <f t="shared" si="16"/>
        <v>1.3420000000000001</v>
      </c>
      <c r="E44" s="8">
        <f t="shared" si="16"/>
        <v>1.7260000000000002</v>
      </c>
      <c r="F44" s="8">
        <f t="shared" si="16"/>
        <v>1.5160000000000002</v>
      </c>
    </row>
    <row r="45" spans="1:8" x14ac:dyDescent="0.25">
      <c r="A45" s="8" t="s">
        <v>11</v>
      </c>
      <c r="B45" s="8">
        <f>($E40-B44)/$E40*100</f>
        <v>65.400843881856545</v>
      </c>
      <c r="C45" s="8">
        <f t="shared" ref="C45:F45" si="17">($E40-C44)/$E40*100</f>
        <v>48.851383028598221</v>
      </c>
      <c r="D45" s="8">
        <f t="shared" si="17"/>
        <v>37.083919362400373</v>
      </c>
      <c r="E45" s="8">
        <f t="shared" si="17"/>
        <v>19.081106422878566</v>
      </c>
      <c r="F45" s="8">
        <f t="shared" si="17"/>
        <v>28.926394749179547</v>
      </c>
      <c r="G45" s="8" t="s">
        <v>30</v>
      </c>
      <c r="H45" s="8">
        <f>(50-22.558)/22.365</f>
        <v>1.2270064833445116</v>
      </c>
    </row>
    <row r="46" spans="1:8" x14ac:dyDescent="0.25">
      <c r="A46" s="8" t="s">
        <v>13</v>
      </c>
      <c r="B46" s="8">
        <v>1.0249999999999999</v>
      </c>
      <c r="C46" s="8">
        <v>1.0900000000000001</v>
      </c>
      <c r="D46" s="8">
        <v>2.0350000000000001</v>
      </c>
      <c r="E46" s="8">
        <v>2.0179999999999998</v>
      </c>
      <c r="F46" s="8">
        <v>2.2599999999999998</v>
      </c>
    </row>
    <row r="47" spans="1:8" x14ac:dyDescent="0.25">
      <c r="A47" s="8" t="s">
        <v>25</v>
      </c>
      <c r="B47" s="8">
        <v>0.21</v>
      </c>
      <c r="C47" s="8">
        <v>0.27600000000000002</v>
      </c>
      <c r="D47" s="8">
        <v>0.68600000000000005</v>
      </c>
      <c r="E47" s="8">
        <v>0.51400000000000001</v>
      </c>
      <c r="F47" s="8">
        <v>0.58699999999999997</v>
      </c>
    </row>
    <row r="48" spans="1:8" x14ac:dyDescent="0.25">
      <c r="A48" s="8" t="s">
        <v>14</v>
      </c>
      <c r="B48" s="8">
        <f>B46-B47</f>
        <v>0.81499999999999995</v>
      </c>
      <c r="C48" s="8">
        <f t="shared" ref="C48:F48" si="18">C46-C47</f>
        <v>0.81400000000000006</v>
      </c>
      <c r="D48" s="8">
        <f t="shared" si="18"/>
        <v>1.3490000000000002</v>
      </c>
      <c r="E48" s="8">
        <f t="shared" si="18"/>
        <v>1.5039999999999998</v>
      </c>
      <c r="F48" s="8">
        <f t="shared" si="18"/>
        <v>1.6729999999999998</v>
      </c>
    </row>
    <row r="49" spans="1:8" x14ac:dyDescent="0.25">
      <c r="A49" s="8" t="s">
        <v>15</v>
      </c>
      <c r="B49" s="8">
        <f>($E40-B48)/$E40*100</f>
        <v>61.790904828879512</v>
      </c>
      <c r="C49" s="8">
        <f t="shared" ref="C49:F49" si="19">($E40-C48)/$E40*100</f>
        <v>61.837787154242854</v>
      </c>
      <c r="D49" s="8">
        <f t="shared" si="19"/>
        <v>36.755743084857002</v>
      </c>
      <c r="E49" s="8">
        <f t="shared" si="19"/>
        <v>29.488982653539626</v>
      </c>
      <c r="F49" s="8">
        <f t="shared" si="19"/>
        <v>21.565869667135498</v>
      </c>
      <c r="G49" s="8" t="s">
        <v>31</v>
      </c>
      <c r="H49" s="8">
        <f>(50-25.655)/21.49</f>
        <v>1.1328524895300141</v>
      </c>
    </row>
    <row r="50" spans="1:8" x14ac:dyDescent="0.25">
      <c r="A50" s="8" t="s">
        <v>17</v>
      </c>
      <c r="B50" s="8">
        <v>1.0449999999999999</v>
      </c>
      <c r="C50" s="8">
        <v>1.1759999999999999</v>
      </c>
      <c r="D50" s="8">
        <v>1.69</v>
      </c>
      <c r="E50" s="8">
        <v>1.9139999999999999</v>
      </c>
      <c r="F50" s="8">
        <v>2.0190000000000001</v>
      </c>
    </row>
    <row r="51" spans="1:8" x14ac:dyDescent="0.25">
      <c r="A51" s="8" t="s">
        <v>25</v>
      </c>
      <c r="B51" s="8">
        <v>0.21</v>
      </c>
      <c r="C51" s="8">
        <v>0.27600000000000002</v>
      </c>
      <c r="D51" s="8">
        <v>0.68600000000000005</v>
      </c>
      <c r="E51" s="8">
        <v>0.51400000000000001</v>
      </c>
      <c r="F51" s="8">
        <v>0.58699999999999997</v>
      </c>
    </row>
    <row r="52" spans="1:8" x14ac:dyDescent="0.25">
      <c r="A52" s="8" t="s">
        <v>18</v>
      </c>
      <c r="B52" s="8">
        <f>B50-B51</f>
        <v>0.83499999999999996</v>
      </c>
      <c r="C52" s="8">
        <f t="shared" ref="C52:F52" si="20">C50-C51</f>
        <v>0.89999999999999991</v>
      </c>
      <c r="D52" s="8">
        <f t="shared" si="20"/>
        <v>1.004</v>
      </c>
      <c r="E52" s="8">
        <f t="shared" si="20"/>
        <v>1.4</v>
      </c>
      <c r="F52" s="8">
        <f t="shared" si="20"/>
        <v>1.4320000000000002</v>
      </c>
    </row>
    <row r="53" spans="1:8" x14ac:dyDescent="0.25">
      <c r="A53" s="8" t="s">
        <v>19</v>
      </c>
      <c r="B53" s="8">
        <f>($E40-B52)/$E40*100</f>
        <v>60.853258321612756</v>
      </c>
      <c r="C53" s="8">
        <f t="shared" ref="C53:F53" si="21">($E40-C52)/$E40*100</f>
        <v>57.805907172995788</v>
      </c>
      <c r="D53" s="8">
        <f t="shared" si="21"/>
        <v>52.930145335208621</v>
      </c>
      <c r="E53" s="8">
        <f t="shared" si="21"/>
        <v>34.364744491326775</v>
      </c>
      <c r="F53" s="8">
        <f t="shared" si="21"/>
        <v>32.86451007969994</v>
      </c>
      <c r="G53" s="8" t="s">
        <v>32</v>
      </c>
      <c r="H53" s="8">
        <f>(50-30.439)/30.059</f>
        <v>0.65075351808110715</v>
      </c>
    </row>
    <row r="54" spans="1:8" x14ac:dyDescent="0.25">
      <c r="A54" s="8" t="s">
        <v>21</v>
      </c>
      <c r="B54" s="8">
        <f>STDEV(B45,B49,B53)</f>
        <v>2.4010891753027441</v>
      </c>
      <c r="C54" s="8">
        <f t="shared" ref="C54:F54" si="22">STDEV(C45,C49,C53)</f>
        <v>6.6468821130705056</v>
      </c>
      <c r="D54" s="8">
        <f t="shared" si="22"/>
        <v>9.2450154624588841</v>
      </c>
      <c r="E54" s="8">
        <f t="shared" si="22"/>
        <v>7.8069043559627538</v>
      </c>
      <c r="F54" s="8">
        <f t="shared" si="22"/>
        <v>5.7350582242367274</v>
      </c>
      <c r="G54" s="13" t="s">
        <v>33</v>
      </c>
      <c r="H54" s="13">
        <f>STDEV(H45,H49,H53)</f>
        <v>0.30912561438089092</v>
      </c>
    </row>
    <row r="55" spans="1:8" x14ac:dyDescent="0.25">
      <c r="A55" s="8" t="s">
        <v>23</v>
      </c>
      <c r="B55" s="8">
        <f>AVERAGE(B45,B49,B53)</f>
        <v>62.681669010782933</v>
      </c>
      <c r="C55" s="8">
        <f t="shared" ref="C55:F55" si="23">AVERAGE(C45,C49,C53)</f>
        <v>56.165025785278964</v>
      </c>
      <c r="D55" s="8">
        <f t="shared" si="23"/>
        <v>42.256602594155332</v>
      </c>
      <c r="E55" s="8">
        <f t="shared" si="23"/>
        <v>27.644944522581653</v>
      </c>
      <c r="F55" s="8">
        <f t="shared" si="23"/>
        <v>27.785591498671664</v>
      </c>
      <c r="G55" s="13" t="s">
        <v>34</v>
      </c>
      <c r="H55" s="13">
        <f>AVERAGE(H45,H49,H53)</f>
        <v>1.0035374969852111</v>
      </c>
    </row>
    <row r="56" spans="1:8" x14ac:dyDescent="0.25">
      <c r="C56" s="8" t="s">
        <v>0</v>
      </c>
    </row>
    <row r="57" spans="1:8" x14ac:dyDescent="0.25">
      <c r="C57" s="8" t="s">
        <v>5</v>
      </c>
      <c r="D57" s="8">
        <v>2.1629999999999998</v>
      </c>
    </row>
    <row r="58" spans="1:8" x14ac:dyDescent="0.25">
      <c r="C58" s="8" t="s">
        <v>6</v>
      </c>
      <c r="D58" s="8">
        <v>2.1000000000000001E-2</v>
      </c>
      <c r="E58" s="8">
        <f>D57-D58</f>
        <v>2.1419999999999999</v>
      </c>
    </row>
    <row r="59" spans="1:8" x14ac:dyDescent="0.25">
      <c r="A59" s="8" t="s">
        <v>7</v>
      </c>
      <c r="B59" s="8">
        <v>2</v>
      </c>
      <c r="C59" s="8">
        <v>1</v>
      </c>
      <c r="D59" s="8">
        <v>0.5</v>
      </c>
      <c r="E59" s="8">
        <v>0.25</v>
      </c>
      <c r="F59" s="8">
        <v>0.12</v>
      </c>
    </row>
    <row r="60" spans="1:8" x14ac:dyDescent="0.25">
      <c r="A60" s="8" t="s">
        <v>8</v>
      </c>
      <c r="B60" s="8">
        <v>1.0209999999999999</v>
      </c>
      <c r="C60" s="8">
        <v>1.175</v>
      </c>
      <c r="D60" s="8">
        <v>1.274</v>
      </c>
      <c r="E60" s="8">
        <v>1.5529999999999999</v>
      </c>
      <c r="F60" s="8">
        <v>1.621</v>
      </c>
    </row>
    <row r="61" spans="1:8" x14ac:dyDescent="0.25">
      <c r="A61" s="8" t="s">
        <v>25</v>
      </c>
      <c r="B61" s="8">
        <v>0.36599999999999999</v>
      </c>
      <c r="C61" s="8">
        <v>0.186</v>
      </c>
      <c r="D61" s="8">
        <v>0.16600000000000001</v>
      </c>
      <c r="E61" s="8">
        <v>0.32500000000000001</v>
      </c>
      <c r="F61" s="8">
        <v>0.26300000000000001</v>
      </c>
    </row>
    <row r="62" spans="1:8" x14ac:dyDescent="0.25">
      <c r="A62" s="8" t="s">
        <v>10</v>
      </c>
      <c r="B62" s="8">
        <f>B60-B61</f>
        <v>0.65499999999999992</v>
      </c>
      <c r="C62" s="8">
        <f t="shared" ref="C62:F62" si="24">C60-C61</f>
        <v>0.9890000000000001</v>
      </c>
      <c r="D62" s="8">
        <f>D60-D61</f>
        <v>1.1080000000000001</v>
      </c>
      <c r="E62" s="8">
        <f t="shared" si="24"/>
        <v>1.228</v>
      </c>
      <c r="F62" s="8">
        <f>F60-F61</f>
        <v>1.3580000000000001</v>
      </c>
    </row>
    <row r="63" spans="1:8" x14ac:dyDescent="0.25">
      <c r="A63" s="8" t="s">
        <v>11</v>
      </c>
      <c r="B63" s="8">
        <f>($E58-B62)/$E58*100</f>
        <v>69.421101774042953</v>
      </c>
      <c r="C63" s="8">
        <f t="shared" ref="C63:F63" si="25">($E58-C62)/$E58*100</f>
        <v>53.828197945845005</v>
      </c>
      <c r="D63" s="8">
        <f>($E58-D62)/$E58*100</f>
        <v>48.272642390289441</v>
      </c>
      <c r="E63" s="8">
        <f t="shared" si="25"/>
        <v>42.670401493930903</v>
      </c>
      <c r="F63" s="8">
        <f>($E58-F62)/$E58*100</f>
        <v>36.601307189542474</v>
      </c>
      <c r="G63" s="8" t="s">
        <v>30</v>
      </c>
      <c r="H63" s="8">
        <f>(50-37.626)/16.192</f>
        <v>0.76420454545454564</v>
      </c>
    </row>
    <row r="64" spans="1:8" x14ac:dyDescent="0.25">
      <c r="A64" s="8" t="s">
        <v>13</v>
      </c>
      <c r="B64" s="8">
        <v>1.0149999999999999</v>
      </c>
      <c r="C64" s="8">
        <v>1.0169999999999999</v>
      </c>
      <c r="D64" s="8">
        <v>1.2849999999999999</v>
      </c>
      <c r="E64" s="8">
        <v>1.575</v>
      </c>
      <c r="F64" s="8">
        <v>1.6950000000000001</v>
      </c>
    </row>
    <row r="65" spans="1:8" x14ac:dyDescent="0.25">
      <c r="A65" s="8" t="s">
        <v>25</v>
      </c>
      <c r="B65" s="8">
        <v>0.36599999999999999</v>
      </c>
      <c r="C65" s="8">
        <v>0.186</v>
      </c>
      <c r="D65" s="8">
        <v>0.16600000000000001</v>
      </c>
      <c r="E65" s="8">
        <v>0.32500000000000001</v>
      </c>
      <c r="F65" s="8">
        <v>0.26300000000000001</v>
      </c>
    </row>
    <row r="66" spans="1:8" x14ac:dyDescent="0.25">
      <c r="A66" s="8" t="s">
        <v>14</v>
      </c>
      <c r="B66" s="8">
        <f>B64-B65</f>
        <v>0.64899999999999991</v>
      </c>
      <c r="C66" s="8">
        <f t="shared" ref="C66:F66" si="26">C64-C65</f>
        <v>0.83099999999999996</v>
      </c>
      <c r="D66" s="8">
        <f>D64-D65</f>
        <v>1.119</v>
      </c>
      <c r="E66" s="8">
        <f t="shared" si="26"/>
        <v>1.25</v>
      </c>
      <c r="F66" s="8">
        <f>F64-F65</f>
        <v>1.4319999999999999</v>
      </c>
    </row>
    <row r="67" spans="1:8" x14ac:dyDescent="0.25">
      <c r="A67" s="8" t="s">
        <v>15</v>
      </c>
      <c r="B67" s="8">
        <f>($E58-B66)/$E58*100</f>
        <v>69.701213818860879</v>
      </c>
      <c r="C67" s="8">
        <f t="shared" ref="C67:F67" si="27">($E58-C66)/$E58*100</f>
        <v>61.20448179271709</v>
      </c>
      <c r="D67" s="8">
        <f>($E58-D66)/$E58*100</f>
        <v>47.759103641456576</v>
      </c>
      <c r="E67" s="8">
        <f t="shared" si="27"/>
        <v>41.643323996265167</v>
      </c>
      <c r="F67" s="8">
        <f>($E58-F66)/$E58*100</f>
        <v>33.146591970121378</v>
      </c>
      <c r="G67" s="8" t="s">
        <v>31</v>
      </c>
      <c r="H67" s="8">
        <f>(50-37.626)/16.192</f>
        <v>0.76420454545454564</v>
      </c>
    </row>
    <row r="68" spans="1:8" x14ac:dyDescent="0.25">
      <c r="A68" s="8" t="s">
        <v>17</v>
      </c>
      <c r="B68" s="8">
        <v>1.048</v>
      </c>
      <c r="C68" s="8">
        <v>1.125</v>
      </c>
      <c r="D68" s="8">
        <v>1.286</v>
      </c>
      <c r="E68" s="8">
        <v>1.512</v>
      </c>
      <c r="F68" s="8">
        <v>1.64</v>
      </c>
    </row>
    <row r="69" spans="1:8" x14ac:dyDescent="0.25">
      <c r="A69" s="8" t="s">
        <v>25</v>
      </c>
      <c r="B69" s="8">
        <v>0.36599999999999999</v>
      </c>
      <c r="C69" s="8">
        <v>0.186</v>
      </c>
      <c r="D69" s="8">
        <v>0.16600000000000001</v>
      </c>
      <c r="E69" s="8">
        <v>0.32500000000000001</v>
      </c>
      <c r="F69" s="8">
        <v>0.26300000000000001</v>
      </c>
    </row>
    <row r="70" spans="1:8" x14ac:dyDescent="0.25">
      <c r="A70" s="8" t="s">
        <v>18</v>
      </c>
      <c r="B70" s="8">
        <f>B68-B69</f>
        <v>0.68200000000000005</v>
      </c>
      <c r="C70" s="8">
        <f t="shared" ref="C70:F70" si="28">C68-C69</f>
        <v>0.93900000000000006</v>
      </c>
      <c r="D70" s="8">
        <f>D68-D69</f>
        <v>1.1200000000000001</v>
      </c>
      <c r="E70" s="8">
        <f t="shared" si="28"/>
        <v>1.1870000000000001</v>
      </c>
      <c r="F70" s="8">
        <f>F68-F69</f>
        <v>1.3769999999999998</v>
      </c>
    </row>
    <row r="71" spans="1:8" x14ac:dyDescent="0.25">
      <c r="A71" s="8" t="s">
        <v>19</v>
      </c>
      <c r="B71" s="8">
        <f>($E58-B70)/$E58*100</f>
        <v>68.160597572362278</v>
      </c>
      <c r="C71" s="8">
        <f t="shared" ref="C71:F71" si="29">($E58-C70)/$E58*100</f>
        <v>56.162464985994397</v>
      </c>
      <c r="D71" s="8">
        <f>($E58-D70)/$E58*100</f>
        <v>47.712418300653589</v>
      </c>
      <c r="E71" s="8">
        <f t="shared" si="29"/>
        <v>44.584500466853406</v>
      </c>
      <c r="F71" s="8">
        <f>($E58-F70)/$E58*100</f>
        <v>35.714285714285722</v>
      </c>
      <c r="G71" s="8" t="s">
        <v>32</v>
      </c>
      <c r="H71" s="8">
        <f>(50-38.361)/15.64</f>
        <v>0.7441815856777495</v>
      </c>
    </row>
    <row r="72" spans="1:8" x14ac:dyDescent="0.25">
      <c r="A72" s="8" t="s">
        <v>21</v>
      </c>
      <c r="B72" s="8">
        <f>STDEV(B63,B67,B71)</f>
        <v>0.82065340015158583</v>
      </c>
      <c r="C72" s="8">
        <f t="shared" ref="C72:F72" si="30">STDEV(C63,C67,C71)</f>
        <v>3.7700640906052674</v>
      </c>
      <c r="D72" s="8">
        <f t="shared" si="30"/>
        <v>0.31084631738932628</v>
      </c>
      <c r="E72" s="8">
        <f t="shared" si="30"/>
        <v>1.4927146465135357</v>
      </c>
      <c r="F72" s="8">
        <f t="shared" si="30"/>
        <v>1.7941997059361003</v>
      </c>
      <c r="G72" s="13" t="s">
        <v>33</v>
      </c>
      <c r="H72" s="13">
        <f>STDEV(H63,H67,H71)</f>
        <v>1.1560261217106297E-2</v>
      </c>
    </row>
    <row r="73" spans="1:8" x14ac:dyDescent="0.25">
      <c r="A73" s="8" t="s">
        <v>23</v>
      </c>
      <c r="B73" s="8">
        <f>AVERAGE(B63,B67,B71)</f>
        <v>69.094304388422032</v>
      </c>
      <c r="C73" s="8">
        <f t="shared" ref="C73:F73" si="31">AVERAGE(C63,C67,C71)</f>
        <v>57.065048241518831</v>
      </c>
      <c r="D73" s="8">
        <f t="shared" si="31"/>
        <v>47.9147214441332</v>
      </c>
      <c r="E73" s="8">
        <f t="shared" si="31"/>
        <v>42.96607531901649</v>
      </c>
      <c r="F73" s="8">
        <f t="shared" si="31"/>
        <v>35.154061624649863</v>
      </c>
      <c r="G73" s="13" t="s">
        <v>34</v>
      </c>
      <c r="H73" s="13">
        <f>AVERAGE(H63,H67,H71)</f>
        <v>0.757530225528947</v>
      </c>
    </row>
    <row r="74" spans="1:8" x14ac:dyDescent="0.25">
      <c r="C74" s="8" t="s">
        <v>1</v>
      </c>
    </row>
    <row r="75" spans="1:8" x14ac:dyDescent="0.25">
      <c r="C75" s="8" t="s">
        <v>5</v>
      </c>
      <c r="D75" s="8">
        <v>1.8140000000000001</v>
      </c>
    </row>
    <row r="76" spans="1:8" x14ac:dyDescent="0.25">
      <c r="C76" s="8" t="s">
        <v>6</v>
      </c>
      <c r="D76" s="8">
        <v>8.1000000000000003E-2</v>
      </c>
      <c r="E76" s="8">
        <f>D75-D76</f>
        <v>1.7330000000000001</v>
      </c>
    </row>
    <row r="77" spans="1:8" x14ac:dyDescent="0.25">
      <c r="A77" s="8" t="s">
        <v>7</v>
      </c>
      <c r="B77" s="8">
        <v>2</v>
      </c>
      <c r="C77" s="8">
        <v>1</v>
      </c>
      <c r="D77" s="8">
        <v>0.5</v>
      </c>
      <c r="E77" s="8">
        <v>0.25</v>
      </c>
      <c r="F77" s="8">
        <v>0.12</v>
      </c>
    </row>
    <row r="78" spans="1:8" x14ac:dyDescent="0.25">
      <c r="A78" s="8" t="s">
        <v>8</v>
      </c>
      <c r="B78" s="8">
        <v>1.754</v>
      </c>
      <c r="C78" s="8">
        <v>1.3160000000000001</v>
      </c>
      <c r="D78" s="8">
        <v>1.7190000000000001</v>
      </c>
      <c r="E78" s="8">
        <v>1.552</v>
      </c>
      <c r="F78" s="8">
        <v>1.575</v>
      </c>
    </row>
    <row r="79" spans="1:8" x14ac:dyDescent="0.25">
      <c r="A79" s="8" t="s">
        <v>25</v>
      </c>
      <c r="B79" s="8">
        <v>0.96599999999999997</v>
      </c>
      <c r="C79" s="8">
        <v>0.315</v>
      </c>
      <c r="D79" s="8">
        <v>0.79100000000000004</v>
      </c>
      <c r="E79" s="8">
        <v>0.45800000000000002</v>
      </c>
      <c r="F79" s="8">
        <v>0.223</v>
      </c>
    </row>
    <row r="80" spans="1:8" x14ac:dyDescent="0.25">
      <c r="A80" s="8" t="s">
        <v>10</v>
      </c>
      <c r="B80" s="8">
        <f>B78-B79</f>
        <v>0.78800000000000003</v>
      </c>
      <c r="C80" s="8">
        <f t="shared" ref="C80:F80" si="32">C78-C79</f>
        <v>1.0010000000000001</v>
      </c>
      <c r="D80" s="8">
        <f t="shared" si="32"/>
        <v>0.92800000000000005</v>
      </c>
      <c r="E80" s="8">
        <f t="shared" si="32"/>
        <v>1.0940000000000001</v>
      </c>
      <c r="F80" s="8">
        <f t="shared" si="32"/>
        <v>1.3519999999999999</v>
      </c>
    </row>
    <row r="81" spans="1:8" x14ac:dyDescent="0.25">
      <c r="A81" s="8" t="s">
        <v>11</v>
      </c>
      <c r="B81" s="8">
        <f>($E76-B80)/$E76*100</f>
        <v>54.529717253317941</v>
      </c>
      <c r="C81" s="8">
        <f t="shared" ref="C81:F81" si="33">($E76-C80)/$E76*100</f>
        <v>42.238892094633577</v>
      </c>
      <c r="D81" s="8">
        <f t="shared" si="33"/>
        <v>46.451240623196774</v>
      </c>
      <c r="E81" s="8">
        <f t="shared" si="33"/>
        <v>36.872475476053083</v>
      </c>
      <c r="F81" s="8">
        <f t="shared" si="33"/>
        <v>21.984997114829788</v>
      </c>
      <c r="G81" s="8" t="s">
        <v>30</v>
      </c>
      <c r="H81" s="8">
        <f>(50-37.246)/8.2952</f>
        <v>1.5375156717137619</v>
      </c>
    </row>
    <row r="82" spans="1:8" x14ac:dyDescent="0.25">
      <c r="A82" s="8" t="s">
        <v>13</v>
      </c>
      <c r="B82" s="8">
        <v>1.631</v>
      </c>
      <c r="C82" s="8">
        <v>1.216</v>
      </c>
      <c r="D82" s="8">
        <v>1.796</v>
      </c>
      <c r="E82" s="8">
        <v>1.6950000000000001</v>
      </c>
      <c r="F82" s="8">
        <v>1.6619999999999999</v>
      </c>
    </row>
    <row r="83" spans="1:8" x14ac:dyDescent="0.25">
      <c r="A83" s="8" t="s">
        <v>25</v>
      </c>
      <c r="B83" s="8">
        <v>0.96599999999999997</v>
      </c>
      <c r="C83" s="8">
        <v>0.315</v>
      </c>
      <c r="D83" s="8">
        <v>0.79100000000000004</v>
      </c>
      <c r="E83" s="8">
        <v>0.45800000000000002</v>
      </c>
      <c r="F83" s="8">
        <v>0.223</v>
      </c>
    </row>
    <row r="84" spans="1:8" x14ac:dyDescent="0.25">
      <c r="A84" s="8" t="s">
        <v>14</v>
      </c>
      <c r="B84" s="8">
        <f>B82-B83</f>
        <v>0.66500000000000004</v>
      </c>
      <c r="C84" s="8">
        <f t="shared" ref="C84:F84" si="34">C82-C83</f>
        <v>0.90100000000000002</v>
      </c>
      <c r="D84" s="8">
        <f t="shared" si="34"/>
        <v>1.0049999999999999</v>
      </c>
      <c r="E84" s="8">
        <f t="shared" si="34"/>
        <v>1.2370000000000001</v>
      </c>
      <c r="F84" s="8">
        <f t="shared" si="34"/>
        <v>1.4389999999999998</v>
      </c>
    </row>
    <row r="85" spans="1:8" x14ac:dyDescent="0.25">
      <c r="A85" s="8" t="s">
        <v>15</v>
      </c>
      <c r="B85" s="8">
        <f>($E76-B84)/$E76*100</f>
        <v>61.627236006924413</v>
      </c>
      <c r="C85" s="8">
        <f t="shared" ref="C85:F85" si="35">($E76-C84)/$E76*100</f>
        <v>48.009232544720135</v>
      </c>
      <c r="D85" s="8">
        <f t="shared" si="35"/>
        <v>42.008078476630132</v>
      </c>
      <c r="E85" s="8">
        <f t="shared" si="35"/>
        <v>28.62088863242931</v>
      </c>
      <c r="F85" s="8">
        <f t="shared" si="35"/>
        <v>16.964800923254487</v>
      </c>
      <c r="G85" s="8" t="s">
        <v>31</v>
      </c>
      <c r="H85" s="8">
        <f>(50-29.193)/16.932</f>
        <v>1.2288566028821166</v>
      </c>
    </row>
    <row r="86" spans="1:8" x14ac:dyDescent="0.25">
      <c r="A86" s="8" t="s">
        <v>17</v>
      </c>
      <c r="B86" s="8">
        <v>1.782</v>
      </c>
      <c r="C86" s="8">
        <v>1.3029999999999999</v>
      </c>
      <c r="D86" s="8">
        <v>1.829</v>
      </c>
      <c r="E86" s="8">
        <v>1.5169999999999999</v>
      </c>
      <c r="F86" s="8">
        <v>1.593</v>
      </c>
    </row>
    <row r="87" spans="1:8" x14ac:dyDescent="0.25">
      <c r="A87" s="8" t="s">
        <v>25</v>
      </c>
      <c r="B87" s="8">
        <v>0.96599999999999997</v>
      </c>
      <c r="C87" s="8">
        <v>0.315</v>
      </c>
      <c r="D87" s="8">
        <v>0.79100000000000004</v>
      </c>
      <c r="E87" s="8">
        <v>0.45800000000000002</v>
      </c>
      <c r="F87" s="8">
        <v>0.223</v>
      </c>
    </row>
    <row r="88" spans="1:8" x14ac:dyDescent="0.25">
      <c r="A88" s="8" t="s">
        <v>18</v>
      </c>
      <c r="B88" s="8">
        <f>B86-B87</f>
        <v>0.81600000000000006</v>
      </c>
      <c r="C88" s="8">
        <f t="shared" ref="C88:F88" si="36">C86-C87</f>
        <v>0.98799999999999999</v>
      </c>
      <c r="D88" s="8">
        <f t="shared" si="36"/>
        <v>1.0379999999999998</v>
      </c>
      <c r="E88" s="8">
        <f t="shared" si="36"/>
        <v>1.0589999999999999</v>
      </c>
      <c r="F88" s="8">
        <f t="shared" si="36"/>
        <v>1.3699999999999999</v>
      </c>
    </row>
    <row r="89" spans="1:8" x14ac:dyDescent="0.25">
      <c r="A89" s="8" t="s">
        <v>19</v>
      </c>
      <c r="B89" s="8">
        <f>($E76-B88)/$E76*100</f>
        <v>52.91402192729371</v>
      </c>
      <c r="C89" s="8">
        <f t="shared" ref="C89:F89" si="37">($E76-C88)/$E76*100</f>
        <v>42.98903635314484</v>
      </c>
      <c r="D89" s="8">
        <f t="shared" si="37"/>
        <v>40.103866128101572</v>
      </c>
      <c r="E89" s="8">
        <f t="shared" si="37"/>
        <v>38.89209463358339</v>
      </c>
      <c r="F89" s="8">
        <f t="shared" si="37"/>
        <v>20.946335833814206</v>
      </c>
      <c r="G89" s="8" t="s">
        <v>32</v>
      </c>
      <c r="H89" s="8">
        <f>(50-36.095)/8.1387</f>
        <v>1.7085038151056067</v>
      </c>
    </row>
    <row r="90" spans="1:8" x14ac:dyDescent="0.25">
      <c r="A90" s="8" t="s">
        <v>21</v>
      </c>
      <c r="B90" s="8">
        <f>STDEV(B81,B85,B89)</f>
        <v>4.6351077557018892</v>
      </c>
      <c r="C90" s="8">
        <f t="shared" ref="C90:F90" si="38">STDEV(C81,C85,C89)</f>
        <v>3.1374595646900278</v>
      </c>
      <c r="D90" s="8">
        <f t="shared" si="38"/>
        <v>3.2572196095738981</v>
      </c>
      <c r="E90" s="8">
        <f t="shared" si="38"/>
        <v>5.4415870800326509</v>
      </c>
      <c r="F90" s="8">
        <f t="shared" si="38"/>
        <v>2.6499624935268367</v>
      </c>
      <c r="G90" s="13" t="s">
        <v>33</v>
      </c>
      <c r="H90" s="13">
        <f>STDEV(H81,H85,H89)</f>
        <v>0.24309422526610772</v>
      </c>
    </row>
    <row r="91" spans="1:8" x14ac:dyDescent="0.25">
      <c r="A91" s="8" t="s">
        <v>23</v>
      </c>
      <c r="B91" s="8">
        <f>AVERAGE(B89)</f>
        <v>52.91402192729371</v>
      </c>
      <c r="C91" s="8">
        <f t="shared" ref="C91:F91" si="39">AVERAGE(C89)</f>
        <v>42.98903635314484</v>
      </c>
      <c r="D91" s="8">
        <f t="shared" si="39"/>
        <v>40.103866128101572</v>
      </c>
      <c r="E91" s="8">
        <f t="shared" si="39"/>
        <v>38.89209463358339</v>
      </c>
      <c r="F91" s="8">
        <f t="shared" si="39"/>
        <v>20.946335833814206</v>
      </c>
      <c r="G91" s="13" t="s">
        <v>34</v>
      </c>
      <c r="H91" s="13">
        <f>AVERAGE(H81,H85,H89)</f>
        <v>1.4916253632338285</v>
      </c>
    </row>
    <row r="93" spans="1:8" x14ac:dyDescent="0.25">
      <c r="A93" s="8" t="s">
        <v>29</v>
      </c>
    </row>
    <row r="95" spans="1:8" x14ac:dyDescent="0.25">
      <c r="D95" s="8" t="s">
        <v>5</v>
      </c>
      <c r="E95" s="8">
        <v>0.77500000000000002</v>
      </c>
    </row>
    <row r="96" spans="1:8" x14ac:dyDescent="0.25">
      <c r="D96" s="8" t="s">
        <v>6</v>
      </c>
      <c r="E96" s="8">
        <v>5.6000000000000001E-2</v>
      </c>
      <c r="F96" s="8">
        <f>E95-E96</f>
        <v>0.71899999999999997</v>
      </c>
    </row>
    <row r="97" spans="2:9" x14ac:dyDescent="0.25">
      <c r="B97" s="8" t="s">
        <v>7</v>
      </c>
      <c r="C97" s="8">
        <v>1</v>
      </c>
      <c r="D97" s="8">
        <v>0.25</v>
      </c>
      <c r="E97" s="8">
        <v>0.125</v>
      </c>
      <c r="F97" s="8">
        <v>0.06</v>
      </c>
      <c r="G97" s="8">
        <v>0.03</v>
      </c>
    </row>
    <row r="98" spans="2:9" x14ac:dyDescent="0.25">
      <c r="B98" s="8" t="s">
        <v>8</v>
      </c>
      <c r="C98" s="8">
        <v>0.74099999999999999</v>
      </c>
      <c r="D98" s="8">
        <v>0.61799999999999999</v>
      </c>
      <c r="E98" s="8">
        <v>0.99299999999999999</v>
      </c>
      <c r="F98" s="8">
        <v>1.0640000000000001</v>
      </c>
      <c r="G98" s="8">
        <v>1.1719999999999999</v>
      </c>
    </row>
    <row r="99" spans="2:9" x14ac:dyDescent="0.25">
      <c r="B99" s="8" t="s">
        <v>9</v>
      </c>
      <c r="C99" s="8">
        <v>0.58199999999999996</v>
      </c>
      <c r="D99" s="8">
        <v>0.378</v>
      </c>
      <c r="E99" s="8">
        <v>0.65100000000000002</v>
      </c>
      <c r="F99" s="8">
        <v>0.68200000000000005</v>
      </c>
      <c r="G99" s="8">
        <v>0.69099999999999995</v>
      </c>
    </row>
    <row r="100" spans="2:9" x14ac:dyDescent="0.25">
      <c r="B100" s="8" t="s">
        <v>10</v>
      </c>
      <c r="C100" s="8">
        <f>(C98-C99)</f>
        <v>0.15900000000000003</v>
      </c>
      <c r="D100" s="8">
        <f t="shared" ref="D100:G100" si="40">(D98-D99)</f>
        <v>0.24</v>
      </c>
      <c r="E100" s="8">
        <f t="shared" si="40"/>
        <v>0.34199999999999997</v>
      </c>
      <c r="F100" s="8">
        <f t="shared" si="40"/>
        <v>0.38200000000000001</v>
      </c>
      <c r="G100" s="8">
        <f t="shared" si="40"/>
        <v>0.48099999999999998</v>
      </c>
    </row>
    <row r="101" spans="2:9" x14ac:dyDescent="0.25">
      <c r="B101" s="8" t="s">
        <v>11</v>
      </c>
      <c r="C101" s="8">
        <f>($F96-C100)/$F96*100</f>
        <v>77.885952712100135</v>
      </c>
      <c r="D101" s="8">
        <f t="shared" ref="D101:G101" si="41">($F96-D100)/$F96*100</f>
        <v>66.620305980528514</v>
      </c>
      <c r="E101" s="8">
        <f t="shared" si="41"/>
        <v>52.433936022253135</v>
      </c>
      <c r="F101" s="8">
        <f t="shared" si="41"/>
        <v>46.870653685674547</v>
      </c>
      <c r="G101" s="8">
        <f t="shared" si="41"/>
        <v>33.101529902642554</v>
      </c>
      <c r="H101" s="8" t="s">
        <v>12</v>
      </c>
      <c r="I101" s="8">
        <f>(50-33.977)/135.74</f>
        <v>0.1180418447031089</v>
      </c>
    </row>
    <row r="102" spans="2:9" x14ac:dyDescent="0.25">
      <c r="B102" s="8" t="s">
        <v>13</v>
      </c>
      <c r="C102" s="8">
        <v>0.745</v>
      </c>
      <c r="D102" s="8">
        <v>0.61199999999999999</v>
      </c>
      <c r="E102" s="8">
        <v>0.997</v>
      </c>
      <c r="F102" s="8">
        <v>1.071</v>
      </c>
      <c r="G102" s="8">
        <v>1.1859999999999999</v>
      </c>
    </row>
    <row r="103" spans="2:9" x14ac:dyDescent="0.25">
      <c r="B103" s="8" t="s">
        <v>9</v>
      </c>
      <c r="C103" s="8">
        <v>0.58199999999999996</v>
      </c>
      <c r="D103" s="8">
        <v>0.378</v>
      </c>
      <c r="E103" s="8">
        <v>0.65100000000000002</v>
      </c>
      <c r="F103" s="8">
        <v>0.68200000000000005</v>
      </c>
      <c r="G103" s="8">
        <v>0.69099999999999995</v>
      </c>
    </row>
    <row r="104" spans="2:9" x14ac:dyDescent="0.25">
      <c r="B104" s="8" t="s">
        <v>14</v>
      </c>
      <c r="C104" s="8">
        <f>C102-C103</f>
        <v>0.16300000000000003</v>
      </c>
      <c r="D104" s="8">
        <f t="shared" ref="D104:G104" si="42">D102-D103</f>
        <v>0.23399999999999999</v>
      </c>
      <c r="E104" s="8">
        <f t="shared" si="42"/>
        <v>0.34599999999999997</v>
      </c>
      <c r="F104" s="8">
        <f t="shared" si="42"/>
        <v>0.3889999999999999</v>
      </c>
      <c r="G104" s="8">
        <f t="shared" si="42"/>
        <v>0.495</v>
      </c>
    </row>
    <row r="105" spans="2:9" x14ac:dyDescent="0.25">
      <c r="B105" s="8" t="s">
        <v>15</v>
      </c>
      <c r="C105" s="8">
        <f>($F96-C104)/$F96*100</f>
        <v>77.32962447844227</v>
      </c>
      <c r="D105" s="8">
        <f t="shared" ref="D105:G105" si="43">($F96-D104)/$F96*100</f>
        <v>67.454798331015297</v>
      </c>
      <c r="E105" s="8">
        <f t="shared" si="43"/>
        <v>51.87760778859527</v>
      </c>
      <c r="F105" s="8">
        <f t="shared" si="43"/>
        <v>45.897079276773304</v>
      </c>
      <c r="G105" s="8">
        <f t="shared" si="43"/>
        <v>31.154381084840054</v>
      </c>
      <c r="H105" s="8" t="s">
        <v>16</v>
      </c>
      <c r="I105" s="8">
        <f>(50-31.976)/147.27</f>
        <v>0.12238745161947444</v>
      </c>
    </row>
    <row r="106" spans="2:9" x14ac:dyDescent="0.25">
      <c r="B106" s="8" t="s">
        <v>17</v>
      </c>
      <c r="C106" s="8">
        <v>0.72599999999999998</v>
      </c>
      <c r="D106" s="8">
        <v>0.621</v>
      </c>
      <c r="E106" s="8">
        <v>0.97799999999999998</v>
      </c>
      <c r="F106" s="8">
        <v>1.073</v>
      </c>
      <c r="G106" s="8">
        <v>1.1639999999999999</v>
      </c>
    </row>
    <row r="107" spans="2:9" x14ac:dyDescent="0.25">
      <c r="B107" s="8" t="s">
        <v>9</v>
      </c>
      <c r="C107" s="8">
        <v>0.58199999999999996</v>
      </c>
      <c r="D107" s="8">
        <v>0.378</v>
      </c>
      <c r="E107" s="8">
        <v>0.65100000000000002</v>
      </c>
      <c r="F107" s="8">
        <v>0.68200000000000005</v>
      </c>
      <c r="G107" s="8">
        <v>0.69099999999999995</v>
      </c>
    </row>
    <row r="108" spans="2:9" x14ac:dyDescent="0.25">
      <c r="B108" s="8" t="s">
        <v>18</v>
      </c>
      <c r="C108" s="8">
        <f>C106-C107</f>
        <v>0.14400000000000002</v>
      </c>
      <c r="D108" s="8">
        <f t="shared" ref="D108:G108" si="44">D106-D107</f>
        <v>0.24299999999999999</v>
      </c>
      <c r="E108" s="8">
        <f t="shared" si="44"/>
        <v>0.32699999999999996</v>
      </c>
      <c r="F108" s="8">
        <f t="shared" si="44"/>
        <v>0.3909999999999999</v>
      </c>
      <c r="G108" s="8">
        <f t="shared" si="44"/>
        <v>0.47299999999999998</v>
      </c>
    </row>
    <row r="109" spans="2:9" x14ac:dyDescent="0.25">
      <c r="B109" s="8" t="s">
        <v>19</v>
      </c>
      <c r="C109" s="8">
        <f>($F96-C108)/$F96*100</f>
        <v>79.972183588317108</v>
      </c>
      <c r="D109" s="8">
        <f t="shared" ref="D109:G109" si="45">($F96-D108)/$F96*100</f>
        <v>66.203059805285108</v>
      </c>
      <c r="E109" s="8">
        <f t="shared" si="45"/>
        <v>54.520166898470102</v>
      </c>
      <c r="F109" s="8">
        <f t="shared" si="45"/>
        <v>45.618915159944379</v>
      </c>
      <c r="G109" s="8">
        <f t="shared" si="45"/>
        <v>34.214186369958277</v>
      </c>
      <c r="H109" s="8" t="s">
        <v>20</v>
      </c>
      <c r="I109" s="8">
        <f>(50-34.617)/133.53</f>
        <v>0.11520257620010486</v>
      </c>
    </row>
    <row r="110" spans="2:9" x14ac:dyDescent="0.25">
      <c r="B110" s="8" t="s">
        <v>21</v>
      </c>
      <c r="C110" s="8">
        <f>STDEV(C101,C105,C109)</f>
        <v>1.3931366899691036</v>
      </c>
      <c r="D110" s="8">
        <f t="shared" ref="D110:G110" si="46">STDEV(D101,D105,D109)</f>
        <v>0.63735406049455701</v>
      </c>
      <c r="E110" s="8">
        <f t="shared" si="46"/>
        <v>1.3931366899690993</v>
      </c>
      <c r="F110" s="8">
        <f t="shared" si="46"/>
        <v>0.65727616498644814</v>
      </c>
      <c r="G110" s="8">
        <f t="shared" si="46"/>
        <v>1.5487522566981993</v>
      </c>
      <c r="H110" s="13" t="s">
        <v>22</v>
      </c>
      <c r="I110" s="13">
        <f>STDEV(I101,I105,I109)</f>
        <v>3.6186595099929825E-3</v>
      </c>
    </row>
    <row r="111" spans="2:9" x14ac:dyDescent="0.25">
      <c r="B111" s="8" t="s">
        <v>23</v>
      </c>
      <c r="C111" s="8">
        <f>AVERAGE(C101,C105,C109)</f>
        <v>78.395920259619842</v>
      </c>
      <c r="D111" s="8">
        <f t="shared" ref="D111:G111" si="47">AVERAGE(D101,D105,D109)</f>
        <v>66.759388038942973</v>
      </c>
      <c r="E111" s="8">
        <f t="shared" si="47"/>
        <v>52.943903569772836</v>
      </c>
      <c r="F111" s="8">
        <f t="shared" si="47"/>
        <v>46.128882707464072</v>
      </c>
      <c r="G111" s="8">
        <f t="shared" si="47"/>
        <v>32.823365785813628</v>
      </c>
      <c r="H111" s="13" t="s">
        <v>24</v>
      </c>
      <c r="I111" s="13">
        <f>AVERAGE(I101,I105,I109)</f>
        <v>0.11854395750756273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FCC8D-D808-441D-B407-BDE869B1A3F9}">
  <dimension ref="A2:I111"/>
  <sheetViews>
    <sheetView topLeftCell="A91" workbookViewId="0">
      <selection activeCell="C97" sqref="C97:G97"/>
    </sheetView>
  </sheetViews>
  <sheetFormatPr defaultRowHeight="15" x14ac:dyDescent="0.25"/>
  <cols>
    <col min="1" max="16384" width="9.140625" style="8"/>
  </cols>
  <sheetData>
    <row r="2" spans="1:8" x14ac:dyDescent="0.25">
      <c r="B2" s="8" t="s">
        <v>2</v>
      </c>
    </row>
    <row r="3" spans="1:8" x14ac:dyDescent="0.25">
      <c r="C3" s="8" t="s">
        <v>5</v>
      </c>
      <c r="D3" s="8">
        <v>6.7000000000000004E-2</v>
      </c>
    </row>
    <row r="4" spans="1:8" x14ac:dyDescent="0.25">
      <c r="C4" s="8" t="s">
        <v>6</v>
      </c>
      <c r="D4" s="8">
        <v>5.0000000000000001E-3</v>
      </c>
      <c r="E4" s="8">
        <f>D3-D4</f>
        <v>6.2000000000000006E-2</v>
      </c>
    </row>
    <row r="5" spans="1:8" x14ac:dyDescent="0.25">
      <c r="A5" s="8" t="s">
        <v>7</v>
      </c>
      <c r="B5" s="8">
        <v>4</v>
      </c>
      <c r="C5" s="8">
        <v>2</v>
      </c>
      <c r="D5" s="8">
        <v>1</v>
      </c>
      <c r="E5" s="8">
        <v>0.5</v>
      </c>
      <c r="F5" s="8">
        <v>0.25</v>
      </c>
    </row>
    <row r="6" spans="1:8" x14ac:dyDescent="0.25">
      <c r="A6" s="8" t="s">
        <v>8</v>
      </c>
      <c r="B6" s="8">
        <v>0.27</v>
      </c>
      <c r="C6" s="8">
        <v>0.58199999999999996</v>
      </c>
      <c r="D6" s="8">
        <v>0.58399999999999996</v>
      </c>
      <c r="E6" s="8">
        <v>0.151</v>
      </c>
      <c r="F6" s="8">
        <v>0.219</v>
      </c>
    </row>
    <row r="7" spans="1:8" x14ac:dyDescent="0.25">
      <c r="A7" s="8" t="s">
        <v>25</v>
      </c>
      <c r="B7" s="8">
        <v>0.26200000000000001</v>
      </c>
      <c r="C7" s="8">
        <v>0.56999999999999995</v>
      </c>
      <c r="D7" s="8">
        <v>0.55200000000000005</v>
      </c>
      <c r="E7" s="8">
        <v>0.109</v>
      </c>
      <c r="F7" s="8">
        <v>0.16700000000000001</v>
      </c>
    </row>
    <row r="8" spans="1:8" x14ac:dyDescent="0.25">
      <c r="A8" s="8" t="s">
        <v>10</v>
      </c>
      <c r="B8" s="8">
        <f>B6-B7</f>
        <v>8.0000000000000071E-3</v>
      </c>
      <c r="C8" s="8">
        <f t="shared" ref="C8:F8" si="0">C6-C7</f>
        <v>1.2000000000000011E-2</v>
      </c>
      <c r="D8" s="8">
        <f t="shared" si="0"/>
        <v>3.1999999999999917E-2</v>
      </c>
      <c r="E8" s="8">
        <f t="shared" si="0"/>
        <v>4.1999999999999996E-2</v>
      </c>
      <c r="F8" s="8">
        <f t="shared" si="0"/>
        <v>5.1999999999999991E-2</v>
      </c>
    </row>
    <row r="9" spans="1:8" x14ac:dyDescent="0.25">
      <c r="A9" s="8" t="s">
        <v>11</v>
      </c>
      <c r="B9" s="8">
        <f>($E4-B8)/$E4*100</f>
        <v>87.09677419354837</v>
      </c>
      <c r="C9" s="8">
        <f t="shared" ref="C9:F9" si="1">($E4-C8)/$E4*100</f>
        <v>80.645161290322562</v>
      </c>
      <c r="D9" s="8">
        <f t="shared" si="1"/>
        <v>48.387096774193687</v>
      </c>
      <c r="E9" s="8">
        <f t="shared" si="1"/>
        <v>32.258064516129046</v>
      </c>
      <c r="F9" s="8">
        <f t="shared" si="1"/>
        <v>16.129032258064541</v>
      </c>
      <c r="G9" s="8" t="s">
        <v>30</v>
      </c>
      <c r="H9" s="8">
        <f>(50-11.22)/35.344</f>
        <v>1.0972159348121322</v>
      </c>
    </row>
    <row r="10" spans="1:8" x14ac:dyDescent="0.25">
      <c r="A10" s="8" t="s">
        <v>13</v>
      </c>
      <c r="B10" s="8">
        <v>0.27100000000000002</v>
      </c>
      <c r="C10" s="8">
        <v>0.58299999999999996</v>
      </c>
      <c r="D10" s="8">
        <v>0.57599999999999996</v>
      </c>
      <c r="E10" s="8">
        <v>0.14299999999999999</v>
      </c>
      <c r="F10" s="8">
        <v>0.21199999999999999</v>
      </c>
    </row>
    <row r="11" spans="1:8" x14ac:dyDescent="0.25">
      <c r="A11" s="8" t="s">
        <v>25</v>
      </c>
      <c r="B11" s="8">
        <v>0.26200000000000001</v>
      </c>
      <c r="C11" s="8">
        <v>0.56999999999999995</v>
      </c>
      <c r="D11" s="8">
        <v>0.55200000000000005</v>
      </c>
      <c r="E11" s="8">
        <v>0.109</v>
      </c>
      <c r="F11" s="8">
        <v>0.16700000000000001</v>
      </c>
    </row>
    <row r="12" spans="1:8" x14ac:dyDescent="0.25">
      <c r="A12" s="8" t="s">
        <v>14</v>
      </c>
      <c r="B12" s="8">
        <f>B10-B11</f>
        <v>9.000000000000008E-3</v>
      </c>
      <c r="C12" s="8">
        <f t="shared" ref="C12:F12" si="2">C10-C11</f>
        <v>1.3000000000000012E-2</v>
      </c>
      <c r="D12" s="8">
        <f t="shared" si="2"/>
        <v>2.399999999999991E-2</v>
      </c>
      <c r="E12" s="8">
        <f t="shared" si="2"/>
        <v>3.3999999999999989E-2</v>
      </c>
      <c r="F12" s="8">
        <f t="shared" si="2"/>
        <v>4.4999999999999984E-2</v>
      </c>
    </row>
    <row r="13" spans="1:8" x14ac:dyDescent="0.25">
      <c r="A13" s="8" t="s">
        <v>15</v>
      </c>
      <c r="B13" s="8">
        <f>($E4-B12)/$E4*100</f>
        <v>85.483870967741922</v>
      </c>
      <c r="C13" s="8">
        <f t="shared" ref="C13:G13" si="3">($E4-C12)/$E4*100</f>
        <v>79.032258064516114</v>
      </c>
      <c r="D13" s="8">
        <f t="shared" si="3"/>
        <v>61.290322580645309</v>
      </c>
      <c r="E13" s="8">
        <f t="shared" si="3"/>
        <v>45.161290322580669</v>
      </c>
      <c r="F13" s="8">
        <f t="shared" si="3"/>
        <v>27.419354838709708</v>
      </c>
      <c r="G13" s="8" t="s">
        <v>31</v>
      </c>
      <c r="H13" s="8">
        <f>(50-27.56)/27.377</f>
        <v>0.81966614311283204</v>
      </c>
    </row>
    <row r="14" spans="1:8" x14ac:dyDescent="0.25">
      <c r="A14" s="8" t="s">
        <v>17</v>
      </c>
      <c r="B14" s="8">
        <v>0.27500000000000002</v>
      </c>
      <c r="C14" s="8">
        <v>0.58699999999999997</v>
      </c>
      <c r="D14" s="8">
        <v>0.57099999999999995</v>
      </c>
      <c r="E14" s="8">
        <v>0.14799999999999999</v>
      </c>
      <c r="F14" s="8">
        <v>0.216</v>
      </c>
    </row>
    <row r="15" spans="1:8" x14ac:dyDescent="0.25">
      <c r="A15" s="8" t="s">
        <v>25</v>
      </c>
      <c r="B15" s="8">
        <v>0.26200000000000001</v>
      </c>
      <c r="C15" s="8">
        <v>0.56999999999999995</v>
      </c>
      <c r="D15" s="8">
        <v>0.55200000000000005</v>
      </c>
      <c r="E15" s="8">
        <v>0.109</v>
      </c>
      <c r="F15" s="8">
        <v>0.16700000000000001</v>
      </c>
    </row>
    <row r="16" spans="1:8" x14ac:dyDescent="0.25">
      <c r="A16" s="8" t="s">
        <v>18</v>
      </c>
      <c r="B16" s="8">
        <f>B14-B15</f>
        <v>1.3000000000000012E-2</v>
      </c>
      <c r="C16" s="8">
        <f t="shared" ref="C16:F16" si="4">C14-C15</f>
        <v>1.7000000000000015E-2</v>
      </c>
      <c r="D16" s="8">
        <f t="shared" si="4"/>
        <v>1.8999999999999906E-2</v>
      </c>
      <c r="E16" s="8">
        <f t="shared" si="4"/>
        <v>3.8999999999999993E-2</v>
      </c>
      <c r="F16" s="8">
        <f t="shared" si="4"/>
        <v>4.8999999999999988E-2</v>
      </c>
    </row>
    <row r="17" spans="1:8" x14ac:dyDescent="0.25">
      <c r="A17" s="8" t="s">
        <v>19</v>
      </c>
      <c r="B17" s="8">
        <f>($E4-B16)/$E4*100</f>
        <v>79.032258064516114</v>
      </c>
      <c r="C17" s="8">
        <f t="shared" ref="C17:F17" si="5">($E4-C16)/$E4*100</f>
        <v>72.580645161290306</v>
      </c>
      <c r="D17" s="8">
        <f t="shared" si="5"/>
        <v>69.35483870967758</v>
      </c>
      <c r="E17" s="8">
        <f>($E4-E16)/$E4*100</f>
        <v>37.096774193548406</v>
      </c>
      <c r="F17" s="8">
        <f t="shared" si="5"/>
        <v>20.9677419354839</v>
      </c>
      <c r="G17" s="8" t="s">
        <v>32</v>
      </c>
      <c r="H17" s="8">
        <f>(50-23.492)/28.275</f>
        <v>0.93750663129973477</v>
      </c>
    </row>
    <row r="18" spans="1:8" x14ac:dyDescent="0.25">
      <c r="A18" s="8" t="s">
        <v>21</v>
      </c>
      <c r="B18" s="8">
        <f>STDEV(B9,B13,B17)</f>
        <v>4.267340824297726</v>
      </c>
      <c r="C18" s="8">
        <f t="shared" ref="C18:F18" si="6">STDEV(C9,C13,C17)</f>
        <v>4.267340824297726</v>
      </c>
      <c r="D18" s="8">
        <f t="shared" si="6"/>
        <v>10.576513748874159</v>
      </c>
      <c r="E18" s="8">
        <f t="shared" si="6"/>
        <v>6.5184707811731268</v>
      </c>
      <c r="F18" s="8">
        <f t="shared" si="6"/>
        <v>5.6643299746520075</v>
      </c>
      <c r="G18" s="13" t="s">
        <v>33</v>
      </c>
      <c r="H18" s="13">
        <f>(STDEV(H9,H13,H17))</f>
        <v>0.13930023280482304</v>
      </c>
    </row>
    <row r="19" spans="1:8" x14ac:dyDescent="0.25">
      <c r="A19" s="8" t="s">
        <v>23</v>
      </c>
      <c r="B19" s="8">
        <f>AVERAGE(B9,B13,B17)</f>
        <v>83.870967741935473</v>
      </c>
      <c r="C19" s="8">
        <f t="shared" ref="C19:F19" si="7">AVERAGE(C9,C13,C17)</f>
        <v>77.419354838709651</v>
      </c>
      <c r="D19" s="8">
        <f t="shared" si="7"/>
        <v>59.677419354838861</v>
      </c>
      <c r="E19" s="8">
        <f t="shared" si="7"/>
        <v>38.172043010752709</v>
      </c>
      <c r="F19" s="8">
        <f t="shared" si="7"/>
        <v>21.505376344086049</v>
      </c>
      <c r="G19" s="13" t="s">
        <v>34</v>
      </c>
      <c r="H19" s="13">
        <f>AVERAGE(H9,H13,H17)</f>
        <v>0.95146290307489967</v>
      </c>
    </row>
    <row r="20" spans="1:8" x14ac:dyDescent="0.25">
      <c r="C20" s="8" t="s">
        <v>1</v>
      </c>
    </row>
    <row r="21" spans="1:8" x14ac:dyDescent="0.25">
      <c r="C21" s="8" t="s">
        <v>5</v>
      </c>
      <c r="D21" s="8">
        <v>0.23699999999999999</v>
      </c>
    </row>
    <row r="22" spans="1:8" x14ac:dyDescent="0.25">
      <c r="C22" s="8" t="s">
        <v>6</v>
      </c>
      <c r="D22" s="8">
        <v>5.0999999999999997E-2</v>
      </c>
      <c r="E22" s="8">
        <f>D21-D22</f>
        <v>0.186</v>
      </c>
    </row>
    <row r="23" spans="1:8" x14ac:dyDescent="0.25">
      <c r="A23" s="8" t="s">
        <v>7</v>
      </c>
      <c r="B23" s="8">
        <v>4</v>
      </c>
      <c r="C23" s="8">
        <v>2</v>
      </c>
      <c r="D23" s="8">
        <v>1</v>
      </c>
      <c r="E23" s="8">
        <v>0.5</v>
      </c>
      <c r="F23" s="8">
        <v>0.25</v>
      </c>
    </row>
    <row r="24" spans="1:8" x14ac:dyDescent="0.25">
      <c r="A24" s="8" t="s">
        <v>8</v>
      </c>
      <c r="B24" s="8">
        <v>0.24199999999999999</v>
      </c>
      <c r="C24" s="8">
        <v>0.69199999999999995</v>
      </c>
      <c r="D24" s="8">
        <v>0.31900000000000001</v>
      </c>
      <c r="E24" s="8">
        <v>0.58899999999999997</v>
      </c>
      <c r="F24" s="8">
        <v>0.66700000000000004</v>
      </c>
    </row>
    <row r="25" spans="1:8" x14ac:dyDescent="0.25">
      <c r="A25" s="8" t="s">
        <v>25</v>
      </c>
      <c r="B25" s="8">
        <v>0.192</v>
      </c>
      <c r="C25" s="8">
        <v>0.628</v>
      </c>
      <c r="D25" s="8">
        <v>0.23699999999999999</v>
      </c>
      <c r="E25" s="8">
        <v>0.46500000000000002</v>
      </c>
      <c r="F25" s="8">
        <v>0.53100000000000003</v>
      </c>
    </row>
    <row r="26" spans="1:8" x14ac:dyDescent="0.25">
      <c r="A26" s="8" t="s">
        <v>10</v>
      </c>
      <c r="B26" s="8">
        <f>B24-B25</f>
        <v>4.9999999999999989E-2</v>
      </c>
      <c r="C26" s="8">
        <f t="shared" ref="C26:F26" si="8">C24-C25</f>
        <v>6.3999999999999946E-2</v>
      </c>
      <c r="D26" s="8">
        <f t="shared" si="8"/>
        <v>8.2000000000000017E-2</v>
      </c>
      <c r="E26" s="8">
        <f t="shared" si="8"/>
        <v>0.12399999999999994</v>
      </c>
      <c r="F26" s="8">
        <f t="shared" si="8"/>
        <v>0.13600000000000001</v>
      </c>
    </row>
    <row r="27" spans="1:8" x14ac:dyDescent="0.25">
      <c r="A27" s="8" t="s">
        <v>11</v>
      </c>
      <c r="B27" s="8">
        <f>($E22-B26)/$E22*100</f>
        <v>73.118279569892479</v>
      </c>
      <c r="C27" s="8">
        <f t="shared" ref="C27:F27" si="9">($E22-C26)/$E22*100</f>
        <v>65.591397849462396</v>
      </c>
      <c r="D27" s="8">
        <f t="shared" si="9"/>
        <v>55.913978494623649</v>
      </c>
      <c r="E27" s="8">
        <f t="shared" si="9"/>
        <v>33.333333333333364</v>
      </c>
      <c r="F27" s="8">
        <f t="shared" si="9"/>
        <v>26.881720430107521</v>
      </c>
      <c r="G27" s="8" t="s">
        <v>30</v>
      </c>
      <c r="H27" s="8">
        <f>(50-24.497)/22.328</f>
        <v>1.1421981368685059</v>
      </c>
    </row>
    <row r="28" spans="1:8" x14ac:dyDescent="0.25">
      <c r="A28" s="8" t="s">
        <v>13</v>
      </c>
      <c r="B28" s="8">
        <v>0.25</v>
      </c>
      <c r="C28" s="8">
        <v>0.66100000000000003</v>
      </c>
      <c r="D28" s="8">
        <v>0.32200000000000001</v>
      </c>
      <c r="E28" s="8">
        <v>0.55800000000000005</v>
      </c>
      <c r="F28" s="8">
        <v>0.68</v>
      </c>
    </row>
    <row r="29" spans="1:8" x14ac:dyDescent="0.25">
      <c r="A29" s="8" t="s">
        <v>25</v>
      </c>
      <c r="B29" s="8">
        <v>0.192</v>
      </c>
      <c r="C29" s="8">
        <v>0.628</v>
      </c>
      <c r="D29" s="8">
        <v>0.23699999999999999</v>
      </c>
      <c r="E29" s="8">
        <v>0.46500000000000002</v>
      </c>
      <c r="F29" s="8">
        <v>0.53100000000000003</v>
      </c>
    </row>
    <row r="30" spans="1:8" x14ac:dyDescent="0.25">
      <c r="A30" s="8" t="s">
        <v>14</v>
      </c>
      <c r="B30" s="8">
        <f>B28-B29</f>
        <v>5.7999999999999996E-2</v>
      </c>
      <c r="C30" s="8">
        <f t="shared" ref="C30:F30" si="10">C28-C29</f>
        <v>3.3000000000000029E-2</v>
      </c>
      <c r="D30" s="8">
        <f t="shared" si="10"/>
        <v>8.500000000000002E-2</v>
      </c>
      <c r="E30" s="8">
        <f t="shared" si="10"/>
        <v>9.3000000000000027E-2</v>
      </c>
      <c r="F30" s="8">
        <f t="shared" si="10"/>
        <v>0.14900000000000002</v>
      </c>
    </row>
    <row r="31" spans="1:8" x14ac:dyDescent="0.25">
      <c r="A31" s="8" t="s">
        <v>15</v>
      </c>
      <c r="B31" s="8">
        <f>($E22-B30)/$E22*100</f>
        <v>68.817204301075279</v>
      </c>
      <c r="C31" s="8">
        <f t="shared" ref="C31:F31" si="11">($E22-C30)/$E22*100</f>
        <v>82.258064516129011</v>
      </c>
      <c r="D31" s="8">
        <f t="shared" si="11"/>
        <v>54.301075268817186</v>
      </c>
      <c r="E31" s="8">
        <f t="shared" si="11"/>
        <v>49.999999999999986</v>
      </c>
      <c r="F31" s="8">
        <f t="shared" si="11"/>
        <v>19.892473118279558</v>
      </c>
      <c r="G31" s="8" t="s">
        <v>31</v>
      </c>
      <c r="H31" s="8">
        <f>(50-22.791)/30.743</f>
        <v>0.88504700256969071</v>
      </c>
    </row>
    <row r="32" spans="1:8" x14ac:dyDescent="0.25">
      <c r="A32" s="8" t="s">
        <v>17</v>
      </c>
      <c r="B32" s="8">
        <v>0.23400000000000001</v>
      </c>
      <c r="C32" s="8">
        <v>0.68899999999999995</v>
      </c>
      <c r="D32" s="8">
        <v>0.33700000000000002</v>
      </c>
      <c r="E32" s="8">
        <v>0.56299999999999994</v>
      </c>
      <c r="F32" s="8">
        <v>0.66300000000000003</v>
      </c>
    </row>
    <row r="33" spans="1:8" x14ac:dyDescent="0.25">
      <c r="A33" s="8" t="s">
        <v>25</v>
      </c>
      <c r="B33" s="8">
        <v>0.192</v>
      </c>
      <c r="C33" s="8">
        <v>0.628</v>
      </c>
      <c r="D33" s="8">
        <v>0.23699999999999999</v>
      </c>
      <c r="E33" s="8">
        <v>0.46500000000000002</v>
      </c>
      <c r="F33" s="8">
        <v>0.53100000000000003</v>
      </c>
    </row>
    <row r="34" spans="1:8" x14ac:dyDescent="0.25">
      <c r="A34" s="8" t="s">
        <v>18</v>
      </c>
      <c r="B34" s="8">
        <f>B32-B33</f>
        <v>4.200000000000001E-2</v>
      </c>
      <c r="C34" s="8">
        <f t="shared" ref="C34:F34" si="12">C32-C33</f>
        <v>6.0999999999999943E-2</v>
      </c>
      <c r="D34" s="8">
        <f t="shared" si="12"/>
        <v>0.10000000000000003</v>
      </c>
      <c r="E34" s="8">
        <f t="shared" si="12"/>
        <v>9.7999999999999921E-2</v>
      </c>
      <c r="F34" s="8">
        <f>F32-F33</f>
        <v>0.13200000000000001</v>
      </c>
    </row>
    <row r="35" spans="1:8" x14ac:dyDescent="0.25">
      <c r="A35" s="8" t="s">
        <v>19</v>
      </c>
      <c r="B35" s="8">
        <f>($E22-B34)/$E22*100</f>
        <v>77.41935483870968</v>
      </c>
      <c r="C35" s="8">
        <f t="shared" ref="C35:F35" si="13">($E22-C34)/$E22*100</f>
        <v>67.204301075268845</v>
      </c>
      <c r="D35" s="8">
        <f t="shared" si="13"/>
        <v>46.23655913978493</v>
      </c>
      <c r="E35" s="8">
        <f t="shared" si="13"/>
        <v>47.311827956989291</v>
      </c>
      <c r="F35" s="8">
        <f t="shared" si="13"/>
        <v>29.032258064516125</v>
      </c>
      <c r="G35" s="8" t="s">
        <v>32</v>
      </c>
      <c r="H35" s="8">
        <f>(50-35.596)/11.513</f>
        <v>1.2511074437592291</v>
      </c>
    </row>
    <row r="36" spans="1:8" x14ac:dyDescent="0.25">
      <c r="A36" s="8" t="s">
        <v>21</v>
      </c>
      <c r="B36" s="8">
        <f>STDEV(B27,B31,B35)</f>
        <v>4.3010752688172005</v>
      </c>
      <c r="C36" s="8">
        <f t="shared" ref="C36:G36" si="14">STDEV(C27,C31,C35)</f>
        <v>9.1923430847540821</v>
      </c>
      <c r="D36" s="8">
        <f t="shared" si="14"/>
        <v>5.1847584736521295</v>
      </c>
      <c r="E36" s="8">
        <f t="shared" si="14"/>
        <v>8.9480198801577071</v>
      </c>
      <c r="F36" s="8">
        <f t="shared" si="14"/>
        <v>4.7785991490944193</v>
      </c>
      <c r="G36" s="13" t="s">
        <v>33</v>
      </c>
      <c r="H36" s="13">
        <f>STDEV(H27,H31,H35)</f>
        <v>0.18796639309659557</v>
      </c>
    </row>
    <row r="37" spans="1:8" x14ac:dyDescent="0.25">
      <c r="A37" s="8" t="s">
        <v>23</v>
      </c>
      <c r="B37" s="8">
        <f>AVERAGE(B27,B31,B35)</f>
        <v>73.118279569892479</v>
      </c>
      <c r="C37" s="8">
        <f t="shared" ref="C37:F37" si="15">AVERAGE(C27,C31,C35)</f>
        <v>71.684587813620098</v>
      </c>
      <c r="D37" s="8">
        <f t="shared" si="15"/>
        <v>52.150537634408586</v>
      </c>
      <c r="E37" s="8">
        <f t="shared" si="15"/>
        <v>43.548387096774206</v>
      </c>
      <c r="F37" s="8">
        <f t="shared" si="15"/>
        <v>25.268817204301069</v>
      </c>
      <c r="G37" s="13" t="s">
        <v>34</v>
      </c>
      <c r="H37" s="13">
        <f>AVERAGE(H27,H31,H35)</f>
        <v>1.0927841943991419</v>
      </c>
    </row>
    <row r="38" spans="1:8" x14ac:dyDescent="0.25">
      <c r="B38" s="8" t="s">
        <v>0</v>
      </c>
    </row>
    <row r="39" spans="1:8" x14ac:dyDescent="0.25">
      <c r="C39" s="8" t="s">
        <v>5</v>
      </c>
      <c r="D39" s="8">
        <v>0.30099999999999999</v>
      </c>
    </row>
    <row r="40" spans="1:8" x14ac:dyDescent="0.25">
      <c r="C40" s="8" t="s">
        <v>6</v>
      </c>
      <c r="D40" s="8">
        <v>1.2E-2</v>
      </c>
      <c r="E40" s="8">
        <f>D39-D40</f>
        <v>0.28899999999999998</v>
      </c>
    </row>
    <row r="41" spans="1:8" x14ac:dyDescent="0.25">
      <c r="A41" s="8" t="s">
        <v>7</v>
      </c>
      <c r="B41" s="8">
        <v>4</v>
      </c>
      <c r="C41" s="8">
        <v>2</v>
      </c>
      <c r="D41" s="8">
        <v>1</v>
      </c>
      <c r="E41" s="8">
        <v>0.5</v>
      </c>
      <c r="F41" s="8">
        <v>0.25</v>
      </c>
    </row>
    <row r="42" spans="1:8" x14ac:dyDescent="0.25">
      <c r="A42" s="8" t="s">
        <v>8</v>
      </c>
      <c r="B42" s="8">
        <v>0.57799999999999996</v>
      </c>
      <c r="C42" s="8">
        <v>0.623</v>
      </c>
      <c r="D42" s="8">
        <v>0.67800000000000005</v>
      </c>
      <c r="E42" s="8">
        <v>0.998</v>
      </c>
      <c r="F42" s="8">
        <v>0.51100000000000001</v>
      </c>
    </row>
    <row r="43" spans="1:8" x14ac:dyDescent="0.25">
      <c r="A43" s="8" t="s">
        <v>25</v>
      </c>
      <c r="B43" s="8">
        <v>0.54200000000000004</v>
      </c>
      <c r="C43" s="8">
        <v>0.55200000000000005</v>
      </c>
      <c r="D43" s="8">
        <v>0.56399999999999995</v>
      </c>
      <c r="E43" s="8">
        <v>0.85799999999999998</v>
      </c>
      <c r="F43" s="8">
        <v>0.33600000000000002</v>
      </c>
    </row>
    <row r="44" spans="1:8" x14ac:dyDescent="0.25">
      <c r="A44" s="8" t="s">
        <v>10</v>
      </c>
      <c r="B44" s="8">
        <f>B42-B43</f>
        <v>3.5999999999999921E-2</v>
      </c>
      <c r="C44" s="8">
        <f t="shared" ref="C44:F44" si="16">C42-C43</f>
        <v>7.0999999999999952E-2</v>
      </c>
      <c r="D44" s="8">
        <f t="shared" si="16"/>
        <v>0.1140000000000001</v>
      </c>
      <c r="E44" s="8">
        <f t="shared" si="16"/>
        <v>0.14000000000000001</v>
      </c>
      <c r="F44" s="8">
        <f t="shared" si="16"/>
        <v>0.17499999999999999</v>
      </c>
    </row>
    <row r="45" spans="1:8" x14ac:dyDescent="0.25">
      <c r="A45" s="8" t="s">
        <v>11</v>
      </c>
      <c r="B45" s="8">
        <f>($E40-B44)/$E40*100</f>
        <v>87.543252595155735</v>
      </c>
      <c r="C45" s="8">
        <f t="shared" ref="C45:F45" si="17">($E40-C44)/$E40*100</f>
        <v>75.43252595155711</v>
      </c>
      <c r="D45" s="8">
        <f t="shared" si="17"/>
        <v>60.553633217993038</v>
      </c>
      <c r="E45" s="8">
        <f t="shared" si="17"/>
        <v>51.55709342560553</v>
      </c>
      <c r="F45" s="8">
        <f t="shared" si="17"/>
        <v>39.446366782006919</v>
      </c>
      <c r="G45" s="8" t="s">
        <v>30</v>
      </c>
      <c r="H45" s="8">
        <f>(50-44.622)/11.796</f>
        <v>0.45591726008816552</v>
      </c>
    </row>
    <row r="46" spans="1:8" x14ac:dyDescent="0.25">
      <c r="A46" s="8" t="s">
        <v>13</v>
      </c>
      <c r="B46" s="8">
        <v>0.56899999999999995</v>
      </c>
      <c r="C46" s="8">
        <v>0.65900000000000003</v>
      </c>
      <c r="D46" s="8">
        <v>0.69699999999999995</v>
      </c>
      <c r="E46" s="8">
        <v>0.96799999999999997</v>
      </c>
      <c r="F46" s="8">
        <v>0.52500000000000002</v>
      </c>
    </row>
    <row r="47" spans="1:8" x14ac:dyDescent="0.25">
      <c r="A47" s="8" t="s">
        <v>25</v>
      </c>
      <c r="B47" s="8">
        <v>0.54200000000000004</v>
      </c>
      <c r="C47" s="8">
        <v>0.55200000000000005</v>
      </c>
      <c r="D47" s="8">
        <v>0.56399999999999995</v>
      </c>
      <c r="E47" s="8">
        <v>0.85799999999999998</v>
      </c>
      <c r="F47" s="8">
        <v>0.33600000000000002</v>
      </c>
    </row>
    <row r="48" spans="1:8" x14ac:dyDescent="0.25">
      <c r="A48" s="8" t="s">
        <v>14</v>
      </c>
      <c r="B48" s="8">
        <f>B46-B47</f>
        <v>2.6999999999999913E-2</v>
      </c>
      <c r="C48" s="8">
        <f t="shared" ref="C48:F48" si="18">C46-C47</f>
        <v>0.10699999999999998</v>
      </c>
      <c r="D48" s="8">
        <f t="shared" si="18"/>
        <v>0.13300000000000001</v>
      </c>
      <c r="E48" s="8">
        <f t="shared" si="18"/>
        <v>0.10999999999999999</v>
      </c>
      <c r="F48" s="8">
        <f t="shared" si="18"/>
        <v>0.189</v>
      </c>
    </row>
    <row r="49" spans="1:8" x14ac:dyDescent="0.25">
      <c r="A49" s="8" t="s">
        <v>15</v>
      </c>
      <c r="B49" s="8">
        <f>($E40-B48)/$E40*100</f>
        <v>90.657439446366823</v>
      </c>
      <c r="C49" s="8">
        <f t="shared" ref="C49:F49" si="19">($E40-C48)/$E40*100</f>
        <v>62.975778546712803</v>
      </c>
      <c r="D49" s="8">
        <f t="shared" si="19"/>
        <v>53.979238754325252</v>
      </c>
      <c r="E49" s="8">
        <f t="shared" si="19"/>
        <v>61.937716262975783</v>
      </c>
      <c r="F49" s="8">
        <f t="shared" si="19"/>
        <v>34.602076124567475</v>
      </c>
      <c r="G49" s="8" t="s">
        <v>31</v>
      </c>
      <c r="H49" s="8">
        <f>(50-42.373)/11.908</f>
        <v>0.64049378569029247</v>
      </c>
    </row>
    <row r="50" spans="1:8" x14ac:dyDescent="0.25">
      <c r="A50" s="8" t="s">
        <v>17</v>
      </c>
      <c r="B50" s="8">
        <v>0.57099999999999995</v>
      </c>
      <c r="C50" s="8">
        <v>0.63500000000000001</v>
      </c>
      <c r="D50" s="8">
        <v>0.69799999999999995</v>
      </c>
      <c r="E50" s="8">
        <v>0.97299999999999998</v>
      </c>
      <c r="F50" s="8">
        <v>0.51300000000000001</v>
      </c>
    </row>
    <row r="51" spans="1:8" x14ac:dyDescent="0.25">
      <c r="A51" s="8" t="s">
        <v>25</v>
      </c>
      <c r="B51" s="8">
        <v>0.54200000000000004</v>
      </c>
      <c r="C51" s="8">
        <v>0.55200000000000005</v>
      </c>
      <c r="D51" s="8">
        <v>0.56399999999999995</v>
      </c>
      <c r="E51" s="8">
        <v>0.85799999999999998</v>
      </c>
      <c r="F51" s="8">
        <v>0.33600000000000002</v>
      </c>
    </row>
    <row r="52" spans="1:8" x14ac:dyDescent="0.25">
      <c r="A52" s="8" t="s">
        <v>18</v>
      </c>
      <c r="B52" s="8">
        <f>B50-B51</f>
        <v>2.8999999999999915E-2</v>
      </c>
      <c r="C52" s="8">
        <f t="shared" ref="C52:F52" si="20">C50-C51</f>
        <v>8.2999999999999963E-2</v>
      </c>
      <c r="D52" s="8">
        <f t="shared" si="20"/>
        <v>0.13400000000000001</v>
      </c>
      <c r="E52" s="8">
        <f t="shared" si="20"/>
        <v>0.11499999999999999</v>
      </c>
      <c r="F52" s="8">
        <f t="shared" si="20"/>
        <v>0.17699999999999999</v>
      </c>
    </row>
    <row r="53" spans="1:8" x14ac:dyDescent="0.25">
      <c r="A53" s="8" t="s">
        <v>19</v>
      </c>
      <c r="B53" s="8">
        <f>($E40-B52)/$E40*100</f>
        <v>89.965397923875457</v>
      </c>
      <c r="C53" s="8">
        <f t="shared" ref="C53:G53" si="21">($E40-C52)/$E40*100</f>
        <v>71.280276816609017</v>
      </c>
      <c r="D53" s="8">
        <f t="shared" si="21"/>
        <v>53.633217993079576</v>
      </c>
      <c r="E53" s="8">
        <f t="shared" si="21"/>
        <v>60.207612456747405</v>
      </c>
      <c r="F53" s="8">
        <f t="shared" si="21"/>
        <v>38.754325259515568</v>
      </c>
      <c r="G53" s="8" t="s">
        <v>32</v>
      </c>
      <c r="H53" s="8">
        <f>(50-44.536)/11.763</f>
        <v>0.46450735356626699</v>
      </c>
    </row>
    <row r="54" spans="1:8" x14ac:dyDescent="0.25">
      <c r="A54" s="8" t="s">
        <v>21</v>
      </c>
      <c r="B54" s="8">
        <f>STDEV(B45,B49,B53)</f>
        <v>1.6352303205026382</v>
      </c>
      <c r="C54" s="8">
        <f t="shared" ref="C54:F54" si="22">STDEV(C45,C49,C53)</f>
        <v>6.3426653217381963</v>
      </c>
      <c r="D54" s="8">
        <f t="shared" si="22"/>
        <v>3.8994559410327301</v>
      </c>
      <c r="E54" s="8">
        <f t="shared" si="22"/>
        <v>5.5615056291770273</v>
      </c>
      <c r="F54" s="8">
        <f t="shared" si="22"/>
        <v>2.6200269184776332</v>
      </c>
      <c r="G54" s="13" t="s">
        <v>33</v>
      </c>
      <c r="H54" s="13">
        <f>STDEV(H45,H49,H53)</f>
        <v>0.10417413930614758</v>
      </c>
    </row>
    <row r="55" spans="1:8" x14ac:dyDescent="0.25">
      <c r="A55" s="8" t="s">
        <v>23</v>
      </c>
      <c r="B55" s="8">
        <f>AVERAGE(B45,B49,B53)</f>
        <v>89.388696655132662</v>
      </c>
      <c r="C55" s="8">
        <f t="shared" ref="C55:E55" si="23">AVERAGE(C45,C49,C53)</f>
        <v>69.896193771626301</v>
      </c>
      <c r="D55" s="8">
        <f t="shared" si="23"/>
        <v>56.055363321799291</v>
      </c>
      <c r="E55" s="8">
        <f t="shared" si="23"/>
        <v>57.900807381776239</v>
      </c>
      <c r="F55" s="8">
        <f>AVERAGE(F45,F49,F53)</f>
        <v>37.600922722029985</v>
      </c>
      <c r="G55" s="13" t="s">
        <v>34</v>
      </c>
      <c r="H55" s="13">
        <f>AVERAGE(H45,H49,H53)</f>
        <v>0.52030613311490825</v>
      </c>
    </row>
    <row r="56" spans="1:8" x14ac:dyDescent="0.25">
      <c r="B56" s="8" t="s">
        <v>4</v>
      </c>
    </row>
    <row r="57" spans="1:8" x14ac:dyDescent="0.25">
      <c r="C57" s="8" t="s">
        <v>5</v>
      </c>
      <c r="D57" s="8">
        <v>0.42699999999999999</v>
      </c>
    </row>
    <row r="58" spans="1:8" x14ac:dyDescent="0.25">
      <c r="C58" s="8" t="s">
        <v>6</v>
      </c>
      <c r="D58" s="8">
        <v>5.0999999999999997E-2</v>
      </c>
      <c r="E58" s="8">
        <f>D57-D58</f>
        <v>0.376</v>
      </c>
    </row>
    <row r="59" spans="1:8" x14ac:dyDescent="0.25">
      <c r="A59" s="8" t="s">
        <v>7</v>
      </c>
      <c r="B59" s="8">
        <v>4</v>
      </c>
      <c r="C59" s="8">
        <v>2</v>
      </c>
      <c r="D59" s="8">
        <v>1</v>
      </c>
      <c r="E59" s="8">
        <v>0.5</v>
      </c>
      <c r="F59" s="8">
        <v>0.25</v>
      </c>
    </row>
    <row r="60" spans="1:8" x14ac:dyDescent="0.25">
      <c r="A60" s="8" t="s">
        <v>8</v>
      </c>
      <c r="B60" s="8">
        <v>0.23400000000000001</v>
      </c>
      <c r="C60" s="8">
        <v>0.30499999999999999</v>
      </c>
      <c r="D60" s="8">
        <v>0.32500000000000001</v>
      </c>
      <c r="E60" s="8">
        <v>0.69399999999999995</v>
      </c>
      <c r="F60" s="8">
        <v>1.0389999999999999</v>
      </c>
    </row>
    <row r="61" spans="1:8" x14ac:dyDescent="0.25">
      <c r="A61" s="8" t="s">
        <v>25</v>
      </c>
      <c r="B61" s="8">
        <v>0.154</v>
      </c>
      <c r="C61" s="8">
        <v>0.20699999999999999</v>
      </c>
      <c r="D61" s="8">
        <v>0.221</v>
      </c>
      <c r="E61" s="8">
        <v>0.44400000000000001</v>
      </c>
      <c r="F61" s="8">
        <v>0.70499999999999996</v>
      </c>
    </row>
    <row r="62" spans="1:8" x14ac:dyDescent="0.25">
      <c r="A62" s="8" t="s">
        <v>10</v>
      </c>
      <c r="B62" s="8">
        <f>B60-B61</f>
        <v>8.0000000000000016E-2</v>
      </c>
      <c r="C62" s="8">
        <f t="shared" ref="C62:F62" si="24">C60-C61</f>
        <v>9.8000000000000004E-2</v>
      </c>
      <c r="D62" s="8">
        <f t="shared" si="24"/>
        <v>0.10400000000000001</v>
      </c>
      <c r="E62" s="8">
        <f t="shared" si="24"/>
        <v>0.24999999999999994</v>
      </c>
      <c r="F62" s="8">
        <f t="shared" si="24"/>
        <v>0.33399999999999996</v>
      </c>
    </row>
    <row r="63" spans="1:8" x14ac:dyDescent="0.25">
      <c r="A63" s="8" t="s">
        <v>11</v>
      </c>
      <c r="B63" s="8">
        <f>($E58-B62)/$E58*100</f>
        <v>78.723404255319139</v>
      </c>
      <c r="C63" s="8">
        <f t="shared" ref="C63:F63" si="25">($E58-C62)/$E58*100</f>
        <v>73.936170212765958</v>
      </c>
      <c r="D63" s="8">
        <f t="shared" si="25"/>
        <v>72.340425531914903</v>
      </c>
      <c r="E63" s="8">
        <f t="shared" si="25"/>
        <v>33.510638297872354</v>
      </c>
      <c r="F63" s="8">
        <f t="shared" si="25"/>
        <v>11.170212765957457</v>
      </c>
      <c r="G63" s="8" t="s">
        <v>30</v>
      </c>
      <c r="H63" s="8">
        <f>(50-16.05)/33.802</f>
        <v>1.0043784391456128</v>
      </c>
    </row>
    <row r="64" spans="1:8" x14ac:dyDescent="0.25">
      <c r="A64" s="8" t="s">
        <v>13</v>
      </c>
      <c r="B64" s="8">
        <v>0.253</v>
      </c>
      <c r="C64" s="8">
        <v>0.314</v>
      </c>
      <c r="D64" s="8">
        <v>0.33500000000000002</v>
      </c>
      <c r="E64" s="8">
        <v>0.67200000000000004</v>
      </c>
      <c r="F64" s="8">
        <v>0.98399999999999999</v>
      </c>
    </row>
    <row r="65" spans="1:8" x14ac:dyDescent="0.25">
      <c r="A65" s="8" t="s">
        <v>25</v>
      </c>
      <c r="B65" s="8">
        <v>0.154</v>
      </c>
      <c r="C65" s="8">
        <v>0.20699999999999999</v>
      </c>
      <c r="D65" s="8">
        <v>0.221</v>
      </c>
      <c r="E65" s="8">
        <v>0.44400000000000001</v>
      </c>
      <c r="F65" s="8">
        <v>0.70499999999999996</v>
      </c>
    </row>
    <row r="66" spans="1:8" x14ac:dyDescent="0.25">
      <c r="A66" s="8" t="s">
        <v>14</v>
      </c>
      <c r="B66" s="8">
        <f>B64-B65</f>
        <v>9.9000000000000005E-2</v>
      </c>
      <c r="C66" s="8">
        <f t="shared" ref="C66:F66" si="26">C64-C65</f>
        <v>0.10700000000000001</v>
      </c>
      <c r="D66" s="8">
        <f t="shared" si="26"/>
        <v>0.11400000000000002</v>
      </c>
      <c r="E66" s="8">
        <f t="shared" si="26"/>
        <v>0.22800000000000004</v>
      </c>
      <c r="F66" s="8">
        <f t="shared" si="26"/>
        <v>0.27900000000000003</v>
      </c>
    </row>
    <row r="67" spans="1:8" x14ac:dyDescent="0.25">
      <c r="A67" s="8" t="s">
        <v>15</v>
      </c>
      <c r="B67" s="8">
        <f>($E58-B66)/$E58*100</f>
        <v>73.670212765957459</v>
      </c>
      <c r="C67" s="8">
        <f t="shared" ref="C67:F67" si="27">($E58-C66)/$E58*100</f>
        <v>71.542553191489361</v>
      </c>
      <c r="D67" s="8">
        <f t="shared" si="27"/>
        <v>69.680851063829792</v>
      </c>
      <c r="E67" s="8">
        <f t="shared" si="27"/>
        <v>39.361702127659562</v>
      </c>
      <c r="F67" s="8">
        <f t="shared" si="27"/>
        <v>25.797872340425528</v>
      </c>
      <c r="G67" s="8" t="s">
        <v>31</v>
      </c>
      <c r="H67" s="8">
        <f>(50-16.05)/33.802</f>
        <v>1.0043784391456128</v>
      </c>
    </row>
    <row r="68" spans="1:8" x14ac:dyDescent="0.25">
      <c r="A68" s="8" t="s">
        <v>17</v>
      </c>
      <c r="B68" s="8">
        <v>0.23599999999999999</v>
      </c>
      <c r="C68" s="8">
        <v>0.311</v>
      </c>
      <c r="D68" s="8">
        <v>0.40100000000000002</v>
      </c>
      <c r="E68" s="8">
        <v>0.69099999999999995</v>
      </c>
      <c r="F68" s="8">
        <v>1.0129999999999999</v>
      </c>
    </row>
    <row r="69" spans="1:8" x14ac:dyDescent="0.25">
      <c r="A69" s="8" t="s">
        <v>25</v>
      </c>
      <c r="B69" s="8">
        <v>0.154</v>
      </c>
      <c r="C69" s="8">
        <v>0.20699999999999999</v>
      </c>
      <c r="D69" s="8">
        <v>0.221</v>
      </c>
      <c r="E69" s="8">
        <v>0.44400000000000001</v>
      </c>
      <c r="F69" s="8">
        <v>0.70499999999999996</v>
      </c>
    </row>
    <row r="70" spans="1:8" x14ac:dyDescent="0.25">
      <c r="A70" s="8" t="s">
        <v>18</v>
      </c>
      <c r="B70" s="8">
        <f>B68-B69</f>
        <v>8.199999999999999E-2</v>
      </c>
      <c r="C70" s="8">
        <f t="shared" ref="C70:F70" si="28">C68-C69</f>
        <v>0.10400000000000001</v>
      </c>
      <c r="D70" s="8">
        <f t="shared" si="28"/>
        <v>0.18000000000000002</v>
      </c>
      <c r="E70" s="8">
        <f t="shared" si="28"/>
        <v>0.24699999999999994</v>
      </c>
      <c r="F70" s="8">
        <f t="shared" si="28"/>
        <v>0.30799999999999994</v>
      </c>
    </row>
    <row r="71" spans="1:8" x14ac:dyDescent="0.25">
      <c r="A71" s="8" t="s">
        <v>19</v>
      </c>
      <c r="B71" s="8">
        <f>($E58-B70)/$E58*100</f>
        <v>78.191489361702139</v>
      </c>
      <c r="C71" s="8">
        <f t="shared" ref="C71:F71" si="29">($E58-C70)/$E58*100</f>
        <v>72.340425531914903</v>
      </c>
      <c r="D71" s="8">
        <f t="shared" si="29"/>
        <v>52.127659574468076</v>
      </c>
      <c r="E71" s="8">
        <f t="shared" si="29"/>
        <v>34.308510638297889</v>
      </c>
      <c r="F71" s="8">
        <f t="shared" si="29"/>
        <v>18.08510638297874</v>
      </c>
      <c r="G71" s="8" t="s">
        <v>32</v>
      </c>
      <c r="H71" s="8">
        <f>(50-28.358)/14.615</f>
        <v>1.4808073896681491</v>
      </c>
    </row>
    <row r="72" spans="1:8" x14ac:dyDescent="0.25">
      <c r="A72" s="8" t="s">
        <v>21</v>
      </c>
      <c r="B72" s="8">
        <f>STDEV(B63,B67,B71)</f>
        <v>2.7766772630081178</v>
      </c>
      <c r="C72" s="8">
        <f t="shared" ref="C72:F72" si="30">STDEV(C63,C67,C71)</f>
        <v>1.2187701316371913</v>
      </c>
      <c r="D72" s="8">
        <f t="shared" si="30"/>
        <v>10.98289408932523</v>
      </c>
      <c r="E72" s="8">
        <f t="shared" si="30"/>
        <v>3.1729663418746794</v>
      </c>
      <c r="F72" s="8">
        <f t="shared" si="30"/>
        <v>7.3174555809561701</v>
      </c>
      <c r="G72" s="13" t="s">
        <v>33</v>
      </c>
      <c r="H72" s="13">
        <f>STDEV(H63,H67,H71)</f>
        <v>0.27506638283391788</v>
      </c>
    </row>
    <row r="73" spans="1:8" x14ac:dyDescent="0.25">
      <c r="A73" s="8" t="s">
        <v>23</v>
      </c>
      <c r="B73" s="8">
        <f>AVERAGE(B63,B67,B71)</f>
        <v>76.861702127659584</v>
      </c>
      <c r="C73" s="8">
        <f t="shared" ref="C73:F73" si="31">AVERAGE(C63,C67,C71)</f>
        <v>72.606382978723403</v>
      </c>
      <c r="D73" s="8">
        <f t="shared" si="31"/>
        <v>64.716312056737593</v>
      </c>
      <c r="E73" s="8">
        <f t="shared" si="31"/>
        <v>35.726950354609933</v>
      </c>
      <c r="F73" s="8">
        <f t="shared" si="31"/>
        <v>18.35106382978724</v>
      </c>
      <c r="G73" s="13" t="s">
        <v>34</v>
      </c>
      <c r="H73" s="13">
        <f>AVERAGE(H63,H67,H71)</f>
        <v>1.1631880893197915</v>
      </c>
    </row>
    <row r="74" spans="1:8" x14ac:dyDescent="0.25">
      <c r="B74" s="8" t="s">
        <v>36</v>
      </c>
    </row>
    <row r="75" spans="1:8" x14ac:dyDescent="0.25">
      <c r="B75" s="8" t="s">
        <v>5</v>
      </c>
      <c r="C75" s="8">
        <v>0.32700000000000001</v>
      </c>
    </row>
    <row r="76" spans="1:8" x14ac:dyDescent="0.25">
      <c r="B76" s="8" t="s">
        <v>6</v>
      </c>
      <c r="C76" s="8">
        <v>2.5000000000000001E-2</v>
      </c>
      <c r="D76" s="8">
        <f>C75-C76</f>
        <v>0.30199999999999999</v>
      </c>
    </row>
    <row r="77" spans="1:8" x14ac:dyDescent="0.25">
      <c r="A77" s="8" t="s">
        <v>7</v>
      </c>
      <c r="B77" s="8">
        <v>4</v>
      </c>
      <c r="C77" s="8">
        <v>2</v>
      </c>
      <c r="D77" s="8">
        <v>1</v>
      </c>
      <c r="E77" s="8">
        <v>0.5</v>
      </c>
      <c r="F77" s="8">
        <v>0.25</v>
      </c>
    </row>
    <row r="78" spans="1:8" x14ac:dyDescent="0.25">
      <c r="A78" s="8" t="s">
        <v>8</v>
      </c>
      <c r="B78" s="8">
        <v>0.72299999999999998</v>
      </c>
      <c r="C78" s="8">
        <v>0.878</v>
      </c>
      <c r="D78" s="8">
        <v>0.70499999999999996</v>
      </c>
      <c r="E78" s="8">
        <v>0.69099999999999995</v>
      </c>
      <c r="F78" s="8">
        <v>0.41099999999999998</v>
      </c>
    </row>
    <row r="79" spans="1:8" x14ac:dyDescent="0.25">
      <c r="A79" s="8" t="s">
        <v>25</v>
      </c>
      <c r="B79" s="8">
        <v>0.68500000000000005</v>
      </c>
      <c r="C79" s="8">
        <v>0.76400000000000001</v>
      </c>
      <c r="D79" s="8">
        <v>0.55800000000000005</v>
      </c>
      <c r="E79" s="8">
        <v>0.502</v>
      </c>
      <c r="F79" s="8">
        <v>0.13600000000000001</v>
      </c>
    </row>
    <row r="80" spans="1:8" x14ac:dyDescent="0.25">
      <c r="A80" s="8" t="s">
        <v>10</v>
      </c>
      <c r="B80" s="8">
        <f>B78-B79</f>
        <v>3.7999999999999923E-2</v>
      </c>
      <c r="C80" s="8">
        <f t="shared" ref="C80:F80" si="32">C78-C79</f>
        <v>0.11399999999999999</v>
      </c>
      <c r="D80" s="8">
        <f t="shared" si="32"/>
        <v>0.14699999999999991</v>
      </c>
      <c r="E80" s="8">
        <f t="shared" si="32"/>
        <v>0.18899999999999995</v>
      </c>
      <c r="F80" s="8">
        <f t="shared" si="32"/>
        <v>0.27499999999999997</v>
      </c>
    </row>
    <row r="81" spans="1:8" x14ac:dyDescent="0.25">
      <c r="A81" s="8" t="s">
        <v>11</v>
      </c>
      <c r="B81" s="8">
        <f>($D76-B80)/$D76*100</f>
        <v>87.417218543046388</v>
      </c>
      <c r="C81" s="8">
        <f t="shared" ref="C81:F81" si="33">($D76-C80)/$D76*100</f>
        <v>62.25165562913908</v>
      </c>
      <c r="D81" s="8">
        <f t="shared" si="33"/>
        <v>51.324503311258304</v>
      </c>
      <c r="E81" s="8">
        <f t="shared" si="33"/>
        <v>37.417218543046374</v>
      </c>
      <c r="F81" s="8">
        <f t="shared" si="33"/>
        <v>8.9403973509933863</v>
      </c>
      <c r="G81" s="8" t="s">
        <v>30</v>
      </c>
      <c r="H81" s="8">
        <f>(50-22.296)/17.532</f>
        <v>1.5801962126397444</v>
      </c>
    </row>
    <row r="82" spans="1:8" x14ac:dyDescent="0.25">
      <c r="A82" s="8" t="s">
        <v>13</v>
      </c>
      <c r="B82" s="8">
        <v>0.71499999999999997</v>
      </c>
      <c r="C82" s="8">
        <v>0.85899999999999999</v>
      </c>
      <c r="D82" s="8">
        <v>0.70799999999999996</v>
      </c>
      <c r="E82" s="8">
        <v>0.69699999999999995</v>
      </c>
      <c r="F82" s="8">
        <v>0.36199999999999999</v>
      </c>
    </row>
    <row r="83" spans="1:8" x14ac:dyDescent="0.25">
      <c r="A83" s="8" t="s">
        <v>25</v>
      </c>
      <c r="B83" s="8">
        <v>0.68500000000000005</v>
      </c>
      <c r="C83" s="8">
        <v>0.76400000000000001</v>
      </c>
      <c r="D83" s="8">
        <v>0.55800000000000005</v>
      </c>
      <c r="E83" s="8">
        <v>0.502</v>
      </c>
      <c r="F83" s="8">
        <v>0.13600000000000001</v>
      </c>
    </row>
    <row r="84" spans="1:8" x14ac:dyDescent="0.25">
      <c r="A84" s="8" t="s">
        <v>14</v>
      </c>
      <c r="B84" s="8">
        <f>B82-B83</f>
        <v>2.9999999999999916E-2</v>
      </c>
      <c r="C84" s="8">
        <f t="shared" ref="C84:F84" si="34">C82-C83</f>
        <v>9.4999999999999973E-2</v>
      </c>
      <c r="D84" s="8">
        <f t="shared" si="34"/>
        <v>0.14999999999999991</v>
      </c>
      <c r="E84" s="8">
        <f t="shared" si="34"/>
        <v>0.19499999999999995</v>
      </c>
      <c r="F84" s="8">
        <f t="shared" si="34"/>
        <v>0.22599999999999998</v>
      </c>
    </row>
    <row r="85" spans="1:8" x14ac:dyDescent="0.25">
      <c r="A85" s="8" t="s">
        <v>15</v>
      </c>
      <c r="B85" s="8">
        <f>($D76-B84)/$D76*100</f>
        <v>90.06622516556294</v>
      </c>
      <c r="C85" s="8">
        <f t="shared" ref="C85:F85" si="35">($D76-C84)/$D76*100</f>
        <v>68.543046357615907</v>
      </c>
      <c r="D85" s="8">
        <f t="shared" si="35"/>
        <v>50.331125827814596</v>
      </c>
      <c r="E85" s="8">
        <f t="shared" si="35"/>
        <v>35.430463576158957</v>
      </c>
      <c r="F85" s="8">
        <f t="shared" si="35"/>
        <v>25.165562913907291</v>
      </c>
      <c r="G85" s="8" t="s">
        <v>31</v>
      </c>
      <c r="H85" s="8">
        <f>(50-28.256)/16.549</f>
        <v>1.3139162487159346</v>
      </c>
    </row>
    <row r="86" spans="1:8" x14ac:dyDescent="0.25">
      <c r="A86" s="8" t="s">
        <v>17</v>
      </c>
      <c r="B86" s="8">
        <v>0.73499999999999999</v>
      </c>
      <c r="C86" s="8">
        <v>0.86299999999999999</v>
      </c>
      <c r="D86" s="8">
        <v>0.71699999999999997</v>
      </c>
      <c r="E86" s="8">
        <v>0.68400000000000005</v>
      </c>
      <c r="F86" s="8">
        <v>0.39100000000000001</v>
      </c>
    </row>
    <row r="87" spans="1:8" x14ac:dyDescent="0.25">
      <c r="A87" s="8" t="s">
        <v>25</v>
      </c>
      <c r="B87" s="8">
        <v>0.68500000000000005</v>
      </c>
      <c r="C87" s="8">
        <v>0.76400000000000001</v>
      </c>
      <c r="D87" s="8">
        <v>0.55800000000000005</v>
      </c>
      <c r="E87" s="8">
        <v>0.502</v>
      </c>
      <c r="F87" s="8">
        <v>0.13600000000000001</v>
      </c>
    </row>
    <row r="88" spans="1:8" x14ac:dyDescent="0.25">
      <c r="A88" s="8" t="s">
        <v>18</v>
      </c>
      <c r="B88" s="8">
        <f>B86-B87</f>
        <v>4.9999999999999933E-2</v>
      </c>
      <c r="C88" s="8">
        <f t="shared" ref="C88:F88" si="36">C86-C87</f>
        <v>9.8999999999999977E-2</v>
      </c>
      <c r="D88" s="8">
        <f t="shared" si="36"/>
        <v>0.15899999999999992</v>
      </c>
      <c r="E88" s="8">
        <f t="shared" si="36"/>
        <v>0.18200000000000005</v>
      </c>
      <c r="F88" s="8">
        <f t="shared" si="36"/>
        <v>0.255</v>
      </c>
    </row>
    <row r="89" spans="1:8" x14ac:dyDescent="0.25">
      <c r="A89" s="8" t="s">
        <v>19</v>
      </c>
      <c r="B89" s="8">
        <f>($D76-B88)/$D76*100</f>
        <v>83.443708609271553</v>
      </c>
      <c r="C89" s="8">
        <f t="shared" ref="C89:F89" si="37">($D76-C88)/$D76*100</f>
        <v>67.218543046357624</v>
      </c>
      <c r="D89" s="8">
        <f t="shared" si="37"/>
        <v>47.350993377483469</v>
      </c>
      <c r="E89" s="8">
        <f t="shared" si="37"/>
        <v>39.735099337748323</v>
      </c>
      <c r="F89" s="8">
        <f t="shared" si="37"/>
        <v>15.562913907284765</v>
      </c>
      <c r="G89" s="8" t="s">
        <v>32</v>
      </c>
      <c r="H89" s="8">
        <f>(50-26.214)/15.773</f>
        <v>1.5080200342357193</v>
      </c>
    </row>
    <row r="90" spans="1:8" x14ac:dyDescent="0.25">
      <c r="A90" s="8" t="s">
        <v>21</v>
      </c>
      <c r="B90" s="8">
        <f>STDEV(B81,B85,B89)</f>
        <v>3.3332602363226251</v>
      </c>
      <c r="C90" s="8">
        <f t="shared" ref="C90:F90" si="38">STDEV(C81,C85,C89)</f>
        <v>3.3167724506217948</v>
      </c>
      <c r="D90" s="8">
        <f t="shared" si="38"/>
        <v>2.0678801319199995</v>
      </c>
      <c r="E90" s="8">
        <f t="shared" si="38"/>
        <v>2.1544394366382962</v>
      </c>
      <c r="F90" s="8">
        <f t="shared" si="38"/>
        <v>8.1580695329502753</v>
      </c>
      <c r="G90" s="13" t="s">
        <v>33</v>
      </c>
      <c r="H90" s="13">
        <f>STDEV(H81,H85,H89)</f>
        <v>0.13771389391862737</v>
      </c>
    </row>
    <row r="91" spans="1:8" x14ac:dyDescent="0.25">
      <c r="A91" s="8" t="s">
        <v>23</v>
      </c>
      <c r="B91" s="8">
        <f>AVERAGE(B81,B85,B89)</f>
        <v>86.975717439293632</v>
      </c>
      <c r="C91" s="8">
        <f t="shared" ref="C91:F91" si="39">AVERAGE(C81,C85,C89)</f>
        <v>66.004415011037551</v>
      </c>
      <c r="D91" s="8">
        <f t="shared" si="39"/>
        <v>49.668874172185461</v>
      </c>
      <c r="E91" s="8">
        <f t="shared" si="39"/>
        <v>37.527593818984549</v>
      </c>
      <c r="F91" s="8">
        <f t="shared" si="39"/>
        <v>16.556291390728479</v>
      </c>
      <c r="G91" s="13" t="s">
        <v>34</v>
      </c>
      <c r="H91" s="13">
        <f>AVERAGE(H81,H85,H89)</f>
        <v>1.467377498530466</v>
      </c>
    </row>
    <row r="94" spans="1:8" x14ac:dyDescent="0.25">
      <c r="B94" s="8" t="s">
        <v>29</v>
      </c>
    </row>
    <row r="95" spans="1:8" x14ac:dyDescent="0.25">
      <c r="E95" s="8" t="s">
        <v>5</v>
      </c>
      <c r="F95" s="8">
        <v>0.76400000000000001</v>
      </c>
    </row>
    <row r="96" spans="1:8" x14ac:dyDescent="0.25">
      <c r="E96" s="8" t="s">
        <v>6</v>
      </c>
      <c r="F96" s="8">
        <v>0.10199999999999999</v>
      </c>
      <c r="G96" s="8">
        <f>F95-F96</f>
        <v>0.66200000000000003</v>
      </c>
    </row>
    <row r="97" spans="2:9" x14ac:dyDescent="0.25">
      <c r="B97" s="8" t="s">
        <v>7</v>
      </c>
      <c r="C97" s="8">
        <v>1</v>
      </c>
      <c r="D97" s="8">
        <v>0.25</v>
      </c>
      <c r="E97" s="8">
        <v>0.125</v>
      </c>
      <c r="F97" s="8">
        <v>0.06</v>
      </c>
      <c r="G97" s="8">
        <v>0.03</v>
      </c>
    </row>
    <row r="98" spans="2:9" x14ac:dyDescent="0.25">
      <c r="B98" s="8" t="s">
        <v>8</v>
      </c>
      <c r="C98" s="8">
        <v>0.70299999999999996</v>
      </c>
      <c r="D98" s="8">
        <v>0.98399999999999999</v>
      </c>
      <c r="E98" s="8">
        <v>0.82499999999999996</v>
      </c>
      <c r="F98" s="8">
        <v>0.78200000000000003</v>
      </c>
      <c r="G98" s="8">
        <v>0.66800000000000004</v>
      </c>
    </row>
    <row r="99" spans="2:9" x14ac:dyDescent="0.25">
      <c r="B99" s="8" t="s">
        <v>9</v>
      </c>
      <c r="C99" s="8">
        <v>0.57499999999999996</v>
      </c>
      <c r="D99" s="8">
        <v>0.82199999999999995</v>
      </c>
      <c r="E99" s="8">
        <v>0.56499999999999995</v>
      </c>
      <c r="F99" s="8">
        <v>0.47099999999999997</v>
      </c>
      <c r="G99" s="8">
        <v>0.218</v>
      </c>
    </row>
    <row r="100" spans="2:9" x14ac:dyDescent="0.25">
      <c r="B100" s="8" t="s">
        <v>10</v>
      </c>
      <c r="C100" s="8">
        <f>C98-C99</f>
        <v>0.128</v>
      </c>
      <c r="D100" s="8">
        <f t="shared" ref="D100:G100" si="40">D98-D99</f>
        <v>0.16200000000000003</v>
      </c>
      <c r="E100" s="8">
        <f t="shared" si="40"/>
        <v>0.26</v>
      </c>
      <c r="F100" s="8">
        <f t="shared" si="40"/>
        <v>0.31100000000000005</v>
      </c>
      <c r="G100" s="8">
        <f t="shared" si="40"/>
        <v>0.45000000000000007</v>
      </c>
    </row>
    <row r="101" spans="2:9" x14ac:dyDescent="0.25">
      <c r="B101" s="8" t="s">
        <v>11</v>
      </c>
      <c r="C101" s="8">
        <f>($G96-C100)/$G96*100</f>
        <v>80.664652567975835</v>
      </c>
      <c r="D101" s="8">
        <f>($G96-D100)/$G96*100</f>
        <v>75.528700906344397</v>
      </c>
      <c r="E101" s="8">
        <f>($G96-E100)/$G96*100</f>
        <v>60.725075528700913</v>
      </c>
      <c r="F101" s="8">
        <f>($G96-F100)/$G96*100</f>
        <v>53.021148036253777</v>
      </c>
      <c r="G101" s="8">
        <f>($G96-G100)/$G96*100</f>
        <v>32.024169184290024</v>
      </c>
      <c r="H101" s="8" t="s">
        <v>12</v>
      </c>
      <c r="I101" s="8">
        <f>(50-35.432)/171.12</f>
        <v>8.5133239831697044E-2</v>
      </c>
    </row>
    <row r="102" spans="2:9" x14ac:dyDescent="0.25">
      <c r="B102" s="8" t="s">
        <v>13</v>
      </c>
      <c r="C102" s="8">
        <v>0.68100000000000005</v>
      </c>
      <c r="D102" s="8">
        <v>0.98699999999999999</v>
      </c>
      <c r="E102" s="8">
        <v>0.82299999999999995</v>
      </c>
      <c r="F102" s="8">
        <v>0.79500000000000004</v>
      </c>
      <c r="G102" s="8">
        <v>0.66900000000000004</v>
      </c>
    </row>
    <row r="103" spans="2:9" x14ac:dyDescent="0.25">
      <c r="B103" s="8" t="s">
        <v>9</v>
      </c>
      <c r="C103" s="8">
        <v>0.57499999999999996</v>
      </c>
      <c r="D103" s="8">
        <v>0.82199999999999995</v>
      </c>
      <c r="E103" s="8">
        <v>0.56499999999999995</v>
      </c>
      <c r="F103" s="8">
        <v>0.47099999999999997</v>
      </c>
      <c r="G103" s="8">
        <v>0.218</v>
      </c>
    </row>
    <row r="104" spans="2:9" x14ac:dyDescent="0.25">
      <c r="B104" s="8" t="s">
        <v>14</v>
      </c>
      <c r="C104" s="8">
        <f>C102-C103</f>
        <v>0.10600000000000009</v>
      </c>
      <c r="D104" s="8">
        <f t="shared" ref="D104:G104" si="41">D102-D103</f>
        <v>0.16500000000000004</v>
      </c>
      <c r="E104" s="8">
        <f t="shared" si="41"/>
        <v>0.25800000000000001</v>
      </c>
      <c r="F104" s="8">
        <f t="shared" si="41"/>
        <v>0.32400000000000007</v>
      </c>
      <c r="G104" s="8">
        <f t="shared" si="41"/>
        <v>0.45100000000000007</v>
      </c>
    </row>
    <row r="105" spans="2:9" x14ac:dyDescent="0.25">
      <c r="B105" s="8" t="s">
        <v>15</v>
      </c>
      <c r="C105" s="8">
        <f>($G96-C104)/$G96*100</f>
        <v>83.98791540785497</v>
      </c>
      <c r="D105" s="8">
        <f>($G96-D104)/$G96*100</f>
        <v>75.075528700906332</v>
      </c>
      <c r="E105" s="8">
        <f>($G96-E104)/$G96*100</f>
        <v>61.027190332326285</v>
      </c>
      <c r="F105" s="8">
        <f>($G96-F104)/$G96*100</f>
        <v>51.057401812688816</v>
      </c>
      <c r="G105" s="8">
        <f>($G96-G104)/$G96*100</f>
        <v>31.873111782477338</v>
      </c>
      <c r="H105" s="8" t="s">
        <v>16</v>
      </c>
      <c r="I105" s="8">
        <f>(50-34.599)/173.42</f>
        <v>8.8807519317264466E-2</v>
      </c>
    </row>
    <row r="106" spans="2:9" x14ac:dyDescent="0.25">
      <c r="B106" s="8" t="s">
        <v>17</v>
      </c>
      <c r="C106" s="8">
        <v>0.70199999999999996</v>
      </c>
      <c r="D106" s="8">
        <v>0.98699999999999999</v>
      </c>
      <c r="E106" s="8">
        <v>0.83399999999999996</v>
      </c>
      <c r="F106" s="8">
        <v>0.79200000000000004</v>
      </c>
      <c r="G106" s="8">
        <v>0.67800000000000005</v>
      </c>
    </row>
    <row r="107" spans="2:9" x14ac:dyDescent="0.25">
      <c r="B107" s="8" t="s">
        <v>9</v>
      </c>
      <c r="C107" s="8">
        <v>0.57499999999999996</v>
      </c>
      <c r="D107" s="8">
        <v>0.82199999999999995</v>
      </c>
      <c r="E107" s="8">
        <v>0.56499999999999995</v>
      </c>
      <c r="F107" s="8">
        <v>0.47099999999999997</v>
      </c>
      <c r="G107" s="8">
        <v>0.218</v>
      </c>
    </row>
    <row r="108" spans="2:9" x14ac:dyDescent="0.25">
      <c r="B108" s="8" t="s">
        <v>18</v>
      </c>
      <c r="C108" s="8">
        <f>C106-C107</f>
        <v>0.127</v>
      </c>
      <c r="D108" s="8">
        <f t="shared" ref="D108:G108" si="42">D106-D107</f>
        <v>0.16500000000000004</v>
      </c>
      <c r="E108" s="8">
        <f t="shared" si="42"/>
        <v>0.26900000000000002</v>
      </c>
      <c r="F108" s="8">
        <f t="shared" si="42"/>
        <v>0.32100000000000006</v>
      </c>
      <c r="G108" s="8">
        <f t="shared" si="42"/>
        <v>0.46000000000000008</v>
      </c>
    </row>
    <row r="109" spans="2:9" x14ac:dyDescent="0.25">
      <c r="B109" s="8" t="s">
        <v>19</v>
      </c>
      <c r="C109" s="8">
        <f>($G96-C108)/$G96*100</f>
        <v>80.815709969788514</v>
      </c>
      <c r="D109" s="8">
        <f>($G96-D108)/$G96*100</f>
        <v>75.075528700906332</v>
      </c>
      <c r="E109" s="8">
        <f>($G96-E108)/$G96*100</f>
        <v>59.365558912386703</v>
      </c>
      <c r="F109" s="8">
        <f>($G96-F108)/$G96*100</f>
        <v>51.510574018126874</v>
      </c>
      <c r="G109" s="8">
        <f>($G96-G108)/$G96*100</f>
        <v>30.513595166163132</v>
      </c>
      <c r="H109" s="8" t="s">
        <v>20</v>
      </c>
      <c r="I109" s="8">
        <f>(50-33.642)/176.12</f>
        <v>9.2879854644560514E-2</v>
      </c>
    </row>
    <row r="110" spans="2:9" x14ac:dyDescent="0.25">
      <c r="B110" s="8" t="s">
        <v>21</v>
      </c>
      <c r="C110" s="8">
        <f>STDEV(C101,C105,C109)</f>
        <v>1.8766007204012225</v>
      </c>
      <c r="D110" s="8">
        <f t="shared" ref="D110:G110" si="43">STDEV(D101,D105,D109)</f>
        <v>0.26163909479892328</v>
      </c>
      <c r="E110" s="8">
        <f t="shared" si="43"/>
        <v>0.88511560076772511</v>
      </c>
      <c r="F110" s="8">
        <f t="shared" si="43"/>
        <v>1.0282264781803743</v>
      </c>
      <c r="G110" s="8">
        <f t="shared" si="43"/>
        <v>0.83195929717313</v>
      </c>
      <c r="H110" s="13" t="s">
        <v>22</v>
      </c>
      <c r="I110" s="13">
        <f>STDEV(I101,I105,I109)</f>
        <v>3.8750115228835284E-3</v>
      </c>
    </row>
    <row r="111" spans="2:9" x14ac:dyDescent="0.25">
      <c r="B111" s="8" t="s">
        <v>23</v>
      </c>
      <c r="C111" s="8">
        <f>AVERAGE(C101,C105,C109)</f>
        <v>81.82275931520644</v>
      </c>
      <c r="D111" s="8">
        <f t="shared" ref="D111:G111" si="44">AVERAGE(D101,D105,D109)</f>
        <v>75.226586102719011</v>
      </c>
      <c r="E111" s="8">
        <f t="shared" si="44"/>
        <v>60.372608257804636</v>
      </c>
      <c r="F111" s="8">
        <f t="shared" si="44"/>
        <v>51.863041289023158</v>
      </c>
      <c r="G111" s="8">
        <f t="shared" si="44"/>
        <v>31.470292044310167</v>
      </c>
      <c r="H111" s="13" t="s">
        <v>24</v>
      </c>
      <c r="I111" s="13">
        <f>AVERAGE(I101,I105,I109)</f>
        <v>8.8940204597840675E-2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136F7-984F-4D9E-84D8-F37C78B0D2A4}">
  <dimension ref="A1:P139"/>
  <sheetViews>
    <sheetView workbookViewId="0">
      <selection sqref="A1:C1"/>
    </sheetView>
  </sheetViews>
  <sheetFormatPr defaultRowHeight="15" x14ac:dyDescent="0.25"/>
  <cols>
    <col min="1" max="16384" width="9.140625" style="1"/>
  </cols>
  <sheetData>
    <row r="1" spans="1:15" x14ac:dyDescent="0.25">
      <c r="A1" s="9" t="s">
        <v>26</v>
      </c>
      <c r="B1" s="9"/>
      <c r="C1" s="9"/>
    </row>
    <row r="2" spans="1:15" x14ac:dyDescent="0.25">
      <c r="C2" s="1" t="s">
        <v>3</v>
      </c>
    </row>
    <row r="3" spans="1:15" x14ac:dyDescent="0.25">
      <c r="C3" s="10" t="s">
        <v>5</v>
      </c>
      <c r="D3" s="1">
        <v>0.371</v>
      </c>
    </row>
    <row r="4" spans="1:15" x14ac:dyDescent="0.25">
      <c r="C4" s="10" t="s">
        <v>6</v>
      </c>
      <c r="D4" s="1">
        <v>3.9E-2</v>
      </c>
      <c r="E4" s="1">
        <f>D3-D4</f>
        <v>0.33200000000000002</v>
      </c>
    </row>
    <row r="5" spans="1:15" x14ac:dyDescent="0.25">
      <c r="A5" s="10" t="s">
        <v>7</v>
      </c>
      <c r="B5" s="1">
        <v>2</v>
      </c>
      <c r="C5" s="1">
        <v>1</v>
      </c>
      <c r="D5" s="1">
        <v>0.5</v>
      </c>
      <c r="E5" s="1">
        <v>0.25</v>
      </c>
      <c r="F5" s="1">
        <v>0.125</v>
      </c>
      <c r="G5" s="1">
        <v>0.06</v>
      </c>
    </row>
    <row r="6" spans="1:15" x14ac:dyDescent="0.25">
      <c r="A6" s="10" t="s">
        <v>8</v>
      </c>
      <c r="B6" s="1">
        <v>0.191</v>
      </c>
      <c r="C6" s="1">
        <v>0.16700000000000001</v>
      </c>
      <c r="D6" s="1">
        <v>0.24099999999999999</v>
      </c>
      <c r="E6" s="1">
        <v>0.27700000000000002</v>
      </c>
      <c r="F6" s="1">
        <v>0.29399999999999998</v>
      </c>
      <c r="G6" s="1">
        <v>0.312</v>
      </c>
      <c r="I6" s="2"/>
    </row>
    <row r="7" spans="1:15" x14ac:dyDescent="0.25">
      <c r="A7" s="10" t="s">
        <v>25</v>
      </c>
      <c r="B7" s="1">
        <v>8.3000000000000004E-2</v>
      </c>
      <c r="C7" s="1">
        <v>4.5999999999999999E-2</v>
      </c>
      <c r="D7" s="1">
        <v>4.1000000000000002E-2</v>
      </c>
      <c r="E7" s="1">
        <v>4.5999999999999999E-2</v>
      </c>
      <c r="F7" s="1">
        <v>4.2999999999999997E-2</v>
      </c>
      <c r="G7" s="1">
        <v>4.5999999999999999E-2</v>
      </c>
      <c r="I7" s="2"/>
    </row>
    <row r="8" spans="1:15" x14ac:dyDescent="0.25">
      <c r="A8" s="10" t="s">
        <v>10</v>
      </c>
      <c r="B8" s="1">
        <f>B6-B7</f>
        <v>0.108</v>
      </c>
      <c r="C8" s="1">
        <f t="shared" ref="C8:G8" si="0">C6-C7</f>
        <v>0.12100000000000001</v>
      </c>
      <c r="D8" s="1">
        <f t="shared" si="0"/>
        <v>0.19999999999999998</v>
      </c>
      <c r="E8" s="1">
        <f t="shared" si="0"/>
        <v>0.23100000000000004</v>
      </c>
      <c r="F8" s="1">
        <f t="shared" si="0"/>
        <v>0.251</v>
      </c>
      <c r="G8" s="1">
        <f t="shared" si="0"/>
        <v>0.26600000000000001</v>
      </c>
      <c r="I8" s="8"/>
    </row>
    <row r="9" spans="1:15" x14ac:dyDescent="0.25">
      <c r="A9" s="10" t="s">
        <v>11</v>
      </c>
      <c r="B9" s="1">
        <f>($E4-B8)/$E4*100</f>
        <v>67.46987951807229</v>
      </c>
      <c r="C9" s="1">
        <f t="shared" ref="C9:G9" si="1">($E4-C8)/$E4*100</f>
        <v>63.554216867469883</v>
      </c>
      <c r="D9" s="1">
        <f t="shared" si="1"/>
        <v>39.759036144578317</v>
      </c>
      <c r="E9" s="1">
        <f t="shared" si="1"/>
        <v>30.421686746987941</v>
      </c>
      <c r="F9" s="1">
        <f t="shared" si="1"/>
        <v>24.397590361445786</v>
      </c>
      <c r="G9" s="1">
        <f t="shared" si="1"/>
        <v>19.879518072289155</v>
      </c>
      <c r="H9" s="1" t="s">
        <v>30</v>
      </c>
      <c r="I9" s="8">
        <f>(50-18.08)/45.277</f>
        <v>0.7049937054133445</v>
      </c>
      <c r="J9" s="3"/>
      <c r="K9" s="3"/>
      <c r="L9" s="3"/>
      <c r="M9" s="3"/>
      <c r="N9" s="3"/>
      <c r="O9" s="3"/>
    </row>
    <row r="10" spans="1:15" x14ac:dyDescent="0.25">
      <c r="A10" s="10" t="s">
        <v>13</v>
      </c>
      <c r="B10" s="1">
        <v>0.20100000000000001</v>
      </c>
      <c r="C10" s="1">
        <v>0.186</v>
      </c>
      <c r="D10" s="1">
        <v>0.25800000000000001</v>
      </c>
      <c r="E10" s="1">
        <v>0.27900000000000003</v>
      </c>
      <c r="F10" s="1">
        <v>0.29799999999999999</v>
      </c>
      <c r="G10" s="1">
        <v>0.35099999999999998</v>
      </c>
      <c r="I10" s="8"/>
      <c r="J10" s="3"/>
      <c r="K10" s="3"/>
      <c r="L10" s="3"/>
      <c r="M10" s="3"/>
      <c r="N10" s="3"/>
      <c r="O10" s="3"/>
    </row>
    <row r="11" spans="1:15" x14ac:dyDescent="0.25">
      <c r="A11" s="10" t="s">
        <v>25</v>
      </c>
      <c r="B11" s="1">
        <v>8.3000000000000004E-2</v>
      </c>
      <c r="C11" s="1">
        <v>4.5999999999999999E-2</v>
      </c>
      <c r="D11" s="1">
        <v>4.1000000000000002E-2</v>
      </c>
      <c r="E11" s="1">
        <v>4.5999999999999999E-2</v>
      </c>
      <c r="F11" s="1">
        <v>4.2999999999999997E-2</v>
      </c>
      <c r="G11" s="1">
        <v>4.5999999999999999E-2</v>
      </c>
      <c r="I11" s="8"/>
    </row>
    <row r="12" spans="1:15" x14ac:dyDescent="0.25">
      <c r="A12" s="10" t="s">
        <v>14</v>
      </c>
      <c r="B12" s="1">
        <f>B10-B11</f>
        <v>0.11800000000000001</v>
      </c>
      <c r="C12" s="1">
        <f t="shared" ref="C12:G12" si="2">C10-C11</f>
        <v>0.14000000000000001</v>
      </c>
      <c r="D12" s="1">
        <f t="shared" si="2"/>
        <v>0.217</v>
      </c>
      <c r="E12" s="1">
        <f t="shared" si="2"/>
        <v>0.23300000000000004</v>
      </c>
      <c r="F12" s="1">
        <f t="shared" si="2"/>
        <v>0.255</v>
      </c>
      <c r="G12" s="1">
        <f t="shared" si="2"/>
        <v>0.30499999999999999</v>
      </c>
      <c r="I12" s="8"/>
    </row>
    <row r="13" spans="1:15" x14ac:dyDescent="0.25">
      <c r="A13" s="10" t="s">
        <v>15</v>
      </c>
      <c r="B13" s="1">
        <f>($E4-B12)/$E4*100</f>
        <v>64.457831325301214</v>
      </c>
      <c r="C13" s="1">
        <f t="shared" ref="C13:G13" si="3">($E4-C12)/$E4*100</f>
        <v>57.831325301204814</v>
      </c>
      <c r="D13" s="1">
        <f>($E4-D12)/$E4*100</f>
        <v>34.638554216867476</v>
      </c>
      <c r="E13" s="1">
        <f t="shared" si="3"/>
        <v>29.819277108433727</v>
      </c>
      <c r="F13" s="1">
        <f t="shared" si="3"/>
        <v>23.192771084337352</v>
      </c>
      <c r="G13" s="1">
        <f t="shared" si="3"/>
        <v>8.1325301204819347</v>
      </c>
      <c r="H13" s="1" t="s">
        <v>31</v>
      </c>
      <c r="I13" s="8">
        <f>(50-19.207)/26.132</f>
        <v>1.1783636920251033</v>
      </c>
      <c r="J13" s="3"/>
      <c r="K13" s="3"/>
      <c r="L13" s="3"/>
      <c r="M13" s="3"/>
      <c r="N13" s="3"/>
      <c r="O13" s="3"/>
    </row>
    <row r="14" spans="1:15" x14ac:dyDescent="0.25">
      <c r="A14" s="10" t="s">
        <v>17</v>
      </c>
      <c r="B14" s="1">
        <v>0.123</v>
      </c>
      <c r="C14" s="1">
        <v>0.17100000000000001</v>
      </c>
      <c r="D14" s="1">
        <v>0.21299999999999999</v>
      </c>
      <c r="E14" s="1">
        <v>0.20599999999999999</v>
      </c>
      <c r="F14" s="1">
        <v>0.29599999999999999</v>
      </c>
      <c r="G14" s="1">
        <v>0.316</v>
      </c>
      <c r="I14" s="8"/>
    </row>
    <row r="15" spans="1:15" x14ac:dyDescent="0.25">
      <c r="A15" s="10" t="s">
        <v>25</v>
      </c>
      <c r="B15" s="1">
        <v>8.3000000000000004E-2</v>
      </c>
      <c r="C15" s="1">
        <v>4.5999999999999999E-2</v>
      </c>
      <c r="D15" s="1">
        <v>4.1000000000000002E-2</v>
      </c>
      <c r="E15" s="1">
        <v>4.5999999999999999E-2</v>
      </c>
      <c r="F15" s="1">
        <v>4.2999999999999997E-2</v>
      </c>
      <c r="G15" s="1">
        <v>4.5999999999999999E-2</v>
      </c>
    </row>
    <row r="16" spans="1:15" x14ac:dyDescent="0.25">
      <c r="A16" s="10" t="s">
        <v>18</v>
      </c>
      <c r="B16" s="1">
        <f>B14-B15</f>
        <v>3.9999999999999994E-2</v>
      </c>
      <c r="C16" s="1">
        <f t="shared" ref="C16:G16" si="4">C14-C15</f>
        <v>0.125</v>
      </c>
      <c r="D16" s="1">
        <f t="shared" si="4"/>
        <v>0.17199999999999999</v>
      </c>
      <c r="E16" s="1">
        <f t="shared" si="4"/>
        <v>0.15999999999999998</v>
      </c>
      <c r="F16" s="1">
        <f t="shared" si="4"/>
        <v>0.253</v>
      </c>
      <c r="G16" s="1">
        <f t="shared" si="4"/>
        <v>0.27</v>
      </c>
    </row>
    <row r="17" spans="1:16" x14ac:dyDescent="0.25">
      <c r="A17" s="10" t="s">
        <v>19</v>
      </c>
      <c r="B17" s="1">
        <f>($E4-B16)/$E4*100</f>
        <v>87.951807228915669</v>
      </c>
      <c r="C17" s="1">
        <f t="shared" ref="C17:G17" si="5">($E4-C16)/$E4*100</f>
        <v>62.349397590361441</v>
      </c>
      <c r="D17" s="1">
        <f t="shared" si="5"/>
        <v>48.192771084337352</v>
      </c>
      <c r="E17" s="1">
        <f t="shared" si="5"/>
        <v>51.807228915662662</v>
      </c>
      <c r="F17" s="1">
        <f t="shared" si="5"/>
        <v>23.795180722891569</v>
      </c>
      <c r="G17" s="1">
        <f t="shared" si="5"/>
        <v>18.674698795180721</v>
      </c>
      <c r="H17" s="1" t="s">
        <v>32</v>
      </c>
      <c r="I17" s="1">
        <f>(50-24.878)/41.565</f>
        <v>0.60440274269216887</v>
      </c>
    </row>
    <row r="18" spans="1:16" x14ac:dyDescent="0.25">
      <c r="A18" s="10" t="s">
        <v>21</v>
      </c>
      <c r="B18" s="1">
        <f>STDEV(B9,B13,B17)</f>
        <v>12.78377031517824</v>
      </c>
      <c r="C18" s="1">
        <f t="shared" ref="C18:G18" si="6">STDEV(C9,C13,C17)</f>
        <v>3.0170640966499471</v>
      </c>
      <c r="D18" s="1">
        <f t="shared" si="6"/>
        <v>6.8442678582948879</v>
      </c>
      <c r="E18" s="1">
        <f t="shared" si="6"/>
        <v>12.52447161824808</v>
      </c>
      <c r="F18" s="1">
        <f t="shared" si="6"/>
        <v>0.60240963855421725</v>
      </c>
      <c r="G18" s="1">
        <f t="shared" si="6"/>
        <v>6.4624638721903969</v>
      </c>
      <c r="H18" s="7" t="s">
        <v>33</v>
      </c>
      <c r="I18" s="7">
        <f>STDEV(I9,I13,I17)</f>
        <v>0.30649329991729363</v>
      </c>
    </row>
    <row r="19" spans="1:16" x14ac:dyDescent="0.25">
      <c r="A19" s="10" t="s">
        <v>23</v>
      </c>
      <c r="B19" s="1">
        <f>AVERAGE(B9,B13,B17)</f>
        <v>73.293172690763058</v>
      </c>
      <c r="C19" s="1">
        <f t="shared" ref="C19:G19" si="7">AVERAGE(C9,C13,C17)</f>
        <v>61.244979919678713</v>
      </c>
      <c r="D19" s="1">
        <f t="shared" si="7"/>
        <v>40.863453815261046</v>
      </c>
      <c r="E19" s="1">
        <f t="shared" si="7"/>
        <v>37.349397590361441</v>
      </c>
      <c r="F19" s="1">
        <f t="shared" si="7"/>
        <v>23.795180722891569</v>
      </c>
      <c r="G19" s="1">
        <f t="shared" si="7"/>
        <v>15.562248995983936</v>
      </c>
      <c r="H19" s="7" t="s">
        <v>34</v>
      </c>
      <c r="I19" s="7">
        <f>AVERAGE(I9,I13,I17)</f>
        <v>0.82925338004353888</v>
      </c>
    </row>
    <row r="21" spans="1:16" x14ac:dyDescent="0.25">
      <c r="C21" s="1" t="s">
        <v>2</v>
      </c>
    </row>
    <row r="23" spans="1:16" x14ac:dyDescent="0.25">
      <c r="C23" s="10" t="s">
        <v>5</v>
      </c>
      <c r="D23" s="1">
        <v>0.53300000000000003</v>
      </c>
    </row>
    <row r="24" spans="1:16" x14ac:dyDescent="0.25">
      <c r="C24" s="10" t="s">
        <v>6</v>
      </c>
      <c r="D24" s="1">
        <v>3.2000000000000001E-2</v>
      </c>
      <c r="E24" s="1">
        <f>D23-D24</f>
        <v>0.501</v>
      </c>
    </row>
    <row r="25" spans="1:16" x14ac:dyDescent="0.25">
      <c r="A25" s="10" t="s">
        <v>7</v>
      </c>
      <c r="B25" s="1">
        <v>2</v>
      </c>
      <c r="C25" s="1">
        <v>1</v>
      </c>
      <c r="D25" s="1">
        <v>0.5</v>
      </c>
      <c r="E25" s="1">
        <v>0.25</v>
      </c>
      <c r="F25" s="1">
        <v>0.125</v>
      </c>
      <c r="G25" s="1">
        <v>0.06</v>
      </c>
    </row>
    <row r="26" spans="1:16" x14ac:dyDescent="0.25">
      <c r="A26" s="10" t="s">
        <v>8</v>
      </c>
      <c r="B26" s="1">
        <v>0.55600000000000005</v>
      </c>
      <c r="C26" s="1">
        <v>0.60299999999999998</v>
      </c>
      <c r="D26" s="1">
        <v>0.67900000000000005</v>
      </c>
      <c r="E26" s="1">
        <v>0.60299999999999998</v>
      </c>
      <c r="F26" s="1">
        <v>0.57899999999999996</v>
      </c>
      <c r="G26" s="1">
        <v>0.57099999999999995</v>
      </c>
      <c r="J26" s="2"/>
    </row>
    <row r="27" spans="1:16" x14ac:dyDescent="0.25">
      <c r="A27" s="10" t="s">
        <v>25</v>
      </c>
      <c r="B27" s="1">
        <v>0.501</v>
      </c>
      <c r="C27" s="1">
        <v>0.47799999999999998</v>
      </c>
      <c r="D27" s="1">
        <v>0.53200000000000003</v>
      </c>
      <c r="E27" s="1">
        <v>0.40699999999999997</v>
      </c>
      <c r="F27" s="1">
        <v>0.35299999999999998</v>
      </c>
      <c r="G27" s="1">
        <v>0.27700000000000002</v>
      </c>
      <c r="J27" s="2"/>
    </row>
    <row r="28" spans="1:16" x14ac:dyDescent="0.25">
      <c r="A28" s="10" t="s">
        <v>10</v>
      </c>
      <c r="B28" s="1">
        <f>B26-B27</f>
        <v>5.5000000000000049E-2</v>
      </c>
      <c r="C28" s="1">
        <f>C26-C27</f>
        <v>0.125</v>
      </c>
      <c r="D28" s="1">
        <f>D26-D27</f>
        <v>0.14700000000000002</v>
      </c>
      <c r="E28" s="1">
        <f t="shared" ref="D28:G28" si="8">E26-E27</f>
        <v>0.19600000000000001</v>
      </c>
      <c r="F28" s="1">
        <f t="shared" si="8"/>
        <v>0.22599999999999998</v>
      </c>
      <c r="G28" s="1">
        <f t="shared" si="8"/>
        <v>0.29399999999999993</v>
      </c>
      <c r="J28" s="2"/>
    </row>
    <row r="29" spans="1:16" x14ac:dyDescent="0.25">
      <c r="A29" s="10" t="s">
        <v>11</v>
      </c>
      <c r="B29" s="1">
        <f>($E24-B28)/$E24*100</f>
        <v>89.021956087824336</v>
      </c>
      <c r="C29" s="1">
        <f>($E24-C28)/$E24*100</f>
        <v>75.049900199600799</v>
      </c>
      <c r="D29" s="1">
        <f>($E24-D28)/$E24*100</f>
        <v>70.658682634730525</v>
      </c>
      <c r="E29" s="1">
        <f t="shared" ref="D29:G29" si="9">($E24-E28)/$E24*100</f>
        <v>60.878243512974052</v>
      </c>
      <c r="F29" s="1">
        <f t="shared" si="9"/>
        <v>54.890219560878251</v>
      </c>
      <c r="G29" s="1">
        <f t="shared" si="9"/>
        <v>41.317365269461092</v>
      </c>
      <c r="H29" s="1" t="s">
        <v>30</v>
      </c>
      <c r="I29" s="1">
        <f>(50-48.769)/30.465</f>
        <v>4.0407024454291868E-2</v>
      </c>
      <c r="J29" s="2"/>
      <c r="K29" s="3"/>
      <c r="L29" s="4"/>
      <c r="M29" s="4"/>
      <c r="N29" s="4"/>
      <c r="O29" s="4"/>
      <c r="P29" s="4"/>
    </row>
    <row r="30" spans="1:16" x14ac:dyDescent="0.25">
      <c r="A30" s="10" t="s">
        <v>13</v>
      </c>
      <c r="B30" s="1">
        <v>0.58799999999999997</v>
      </c>
      <c r="C30" s="1">
        <v>0.625</v>
      </c>
      <c r="D30" s="1">
        <v>0.67200000000000004</v>
      </c>
      <c r="E30" s="1">
        <v>0.68899999999999995</v>
      </c>
      <c r="F30" s="1">
        <v>0.58299999999999996</v>
      </c>
      <c r="G30" s="1">
        <v>0.56999999999999995</v>
      </c>
      <c r="J30" s="2"/>
      <c r="K30" s="3"/>
      <c r="L30" s="3"/>
      <c r="M30" s="3"/>
      <c r="N30" s="3"/>
      <c r="O30" s="3"/>
      <c r="P30" s="3"/>
    </row>
    <row r="31" spans="1:16" x14ac:dyDescent="0.25">
      <c r="A31" s="10" t="s">
        <v>25</v>
      </c>
      <c r="B31" s="1">
        <v>0.501</v>
      </c>
      <c r="C31" s="1">
        <v>0.47799999999999998</v>
      </c>
      <c r="D31" s="1">
        <v>0.53200000000000003</v>
      </c>
      <c r="E31" s="1">
        <v>0.40699999999999997</v>
      </c>
      <c r="F31" s="1">
        <v>0.35299999999999998</v>
      </c>
      <c r="G31" s="1">
        <v>0.27700000000000002</v>
      </c>
      <c r="J31" s="2"/>
    </row>
    <row r="32" spans="1:16" x14ac:dyDescent="0.25">
      <c r="A32" s="10" t="s">
        <v>14</v>
      </c>
      <c r="B32" s="1">
        <f>B30-B31</f>
        <v>8.6999999999999966E-2</v>
      </c>
      <c r="C32" s="1">
        <f>C30-C31</f>
        <v>0.14700000000000002</v>
      </c>
      <c r="D32" s="1">
        <f>D30-D31</f>
        <v>0.14000000000000001</v>
      </c>
      <c r="E32" s="1">
        <f t="shared" ref="D32:G32" si="10">E30-E31</f>
        <v>0.28199999999999997</v>
      </c>
      <c r="F32" s="1">
        <f t="shared" si="10"/>
        <v>0.22999999999999998</v>
      </c>
      <c r="G32" s="1">
        <f t="shared" si="10"/>
        <v>0.29299999999999993</v>
      </c>
    </row>
    <row r="33" spans="1:10" x14ac:dyDescent="0.25">
      <c r="A33" s="10" t="s">
        <v>15</v>
      </c>
      <c r="B33" s="1">
        <f>($E24-B32)/$E24*100</f>
        <v>82.634730538922156</v>
      </c>
      <c r="C33" s="1">
        <f>($E24-C32)/$E24*100</f>
        <v>70.658682634730525</v>
      </c>
      <c r="D33" s="1">
        <f>($E24-D32)/$E24*100</f>
        <v>72.055888223552884</v>
      </c>
      <c r="E33" s="1">
        <f t="shared" ref="D33:G33" si="11">($E24-E32)/$E24*100</f>
        <v>43.712574850299404</v>
      </c>
      <c r="F33" s="1">
        <f t="shared" si="11"/>
        <v>54.09181636726548</v>
      </c>
      <c r="G33" s="1">
        <f t="shared" si="11"/>
        <v>41.516966067864288</v>
      </c>
      <c r="H33" s="1" t="s">
        <v>31</v>
      </c>
      <c r="I33" s="1">
        <f>(50-44.643)/30.4</f>
        <v>0.17621710526315787</v>
      </c>
      <c r="J33" s="2"/>
    </row>
    <row r="34" spans="1:10" x14ac:dyDescent="0.25">
      <c r="A34" s="10" t="s">
        <v>17</v>
      </c>
      <c r="B34" s="1">
        <v>0.60899999999999999</v>
      </c>
      <c r="C34" s="1">
        <v>0.61199999999999999</v>
      </c>
      <c r="D34" s="1">
        <v>0.68600000000000005</v>
      </c>
      <c r="E34" s="1">
        <v>0.68200000000000005</v>
      </c>
      <c r="F34" s="1">
        <v>0.60699999999999998</v>
      </c>
      <c r="G34" s="1">
        <v>0.58299999999999996</v>
      </c>
      <c r="J34" s="2"/>
    </row>
    <row r="35" spans="1:10" x14ac:dyDescent="0.25">
      <c r="A35" s="10" t="s">
        <v>25</v>
      </c>
      <c r="B35" s="1">
        <v>0.501</v>
      </c>
      <c r="C35" s="1">
        <v>0.47799999999999998</v>
      </c>
      <c r="D35" s="1">
        <v>0.53200000000000003</v>
      </c>
      <c r="E35" s="1">
        <v>0.40699999999999997</v>
      </c>
      <c r="F35" s="1">
        <v>0.35299999999999998</v>
      </c>
      <c r="G35" s="1">
        <v>0.27700000000000002</v>
      </c>
    </row>
    <row r="36" spans="1:10" x14ac:dyDescent="0.25">
      <c r="A36" s="10" t="s">
        <v>18</v>
      </c>
      <c r="B36" s="1">
        <f>B34-B35</f>
        <v>0.10799999999999998</v>
      </c>
      <c r="C36" s="1">
        <f>C34-C35</f>
        <v>0.13400000000000001</v>
      </c>
      <c r="D36" s="1">
        <f>D34-D35</f>
        <v>0.15400000000000003</v>
      </c>
      <c r="E36" s="1">
        <f t="shared" ref="D36:G36" si="12">E34-E35</f>
        <v>0.27500000000000008</v>
      </c>
      <c r="F36" s="1">
        <f t="shared" si="12"/>
        <v>0.254</v>
      </c>
      <c r="G36" s="1">
        <f t="shared" si="12"/>
        <v>0.30599999999999994</v>
      </c>
    </row>
    <row r="37" spans="1:10" x14ac:dyDescent="0.25">
      <c r="A37" s="10" t="s">
        <v>19</v>
      </c>
      <c r="B37" s="1">
        <f>($E24-B36)/$E24*100</f>
        <v>78.443113772455092</v>
      </c>
      <c r="C37" s="1">
        <f>($E24-C36)/$E24*100</f>
        <v>73.253493013972061</v>
      </c>
      <c r="D37" s="1">
        <f>($E24-D36)/$E24*100</f>
        <v>69.26147704590818</v>
      </c>
      <c r="E37" s="1">
        <f t="shared" ref="D37:G37" si="13">($E24-E36)/$E24*100</f>
        <v>45.109780439121742</v>
      </c>
      <c r="F37" s="1">
        <f>($E24-F36)/$E24*100</f>
        <v>49.30139720558882</v>
      </c>
      <c r="G37" s="1">
        <f t="shared" si="13"/>
        <v>38.922155688622766</v>
      </c>
      <c r="H37" s="1" t="s">
        <v>32</v>
      </c>
      <c r="I37" s="1">
        <f>(50-41.289)/35.867</f>
        <v>0.24286949006050126</v>
      </c>
    </row>
    <row r="38" spans="1:10" x14ac:dyDescent="0.25">
      <c r="A38" s="10" t="s">
        <v>21</v>
      </c>
      <c r="B38" s="1">
        <f>STDEV(B29,B33,B37)</f>
        <v>5.3272601785990554</v>
      </c>
      <c r="C38" s="1">
        <f t="shared" ref="C38:G38" si="14">STDEV(C29,C33,C37)</f>
        <v>2.2076726577561039</v>
      </c>
      <c r="D38" s="1">
        <f t="shared" si="14"/>
        <v>1.3972055888223522</v>
      </c>
      <c r="E38" s="1">
        <f t="shared" si="14"/>
        <v>9.5328973542990276</v>
      </c>
      <c r="F38" s="1">
        <f t="shared" si="14"/>
        <v>3.0227057063474572</v>
      </c>
      <c r="G38" s="1">
        <f t="shared" si="14"/>
        <v>1.44394773214975</v>
      </c>
      <c r="H38" s="7" t="s">
        <v>33</v>
      </c>
      <c r="I38" s="7">
        <f>STDEV(I29,I33,I37)</f>
        <v>0.10318104511636281</v>
      </c>
    </row>
    <row r="39" spans="1:10" x14ac:dyDescent="0.25">
      <c r="A39" s="10" t="s">
        <v>23</v>
      </c>
      <c r="B39" s="1">
        <f>AVERAGE(B29,B33,B37)</f>
        <v>83.366600133067195</v>
      </c>
      <c r="C39" s="1">
        <f t="shared" ref="C39:G39" si="15">AVERAGE(C29,C33,C37)</f>
        <v>72.987358616101119</v>
      </c>
      <c r="D39" s="1">
        <f t="shared" si="15"/>
        <v>70.658682634730539</v>
      </c>
      <c r="E39" s="1">
        <f t="shared" si="15"/>
        <v>49.900199600798402</v>
      </c>
      <c r="F39" s="1">
        <f t="shared" si="15"/>
        <v>52.761144377910853</v>
      </c>
      <c r="G39" s="1">
        <f t="shared" si="15"/>
        <v>40.585495675316047</v>
      </c>
      <c r="H39" s="7" t="s">
        <v>34</v>
      </c>
      <c r="I39" s="7">
        <f>AVERAGE(I29,I33,I37)</f>
        <v>0.15316453992598367</v>
      </c>
    </row>
    <row r="41" spans="1:10" x14ac:dyDescent="0.25">
      <c r="C41" s="1" t="s">
        <v>0</v>
      </c>
    </row>
    <row r="43" spans="1:10" x14ac:dyDescent="0.25">
      <c r="C43" s="10" t="s">
        <v>5</v>
      </c>
      <c r="D43" s="1">
        <v>0.63700000000000001</v>
      </c>
    </row>
    <row r="44" spans="1:10" x14ac:dyDescent="0.25">
      <c r="C44" s="10" t="s">
        <v>6</v>
      </c>
      <c r="D44" s="1">
        <v>9.1999999999999998E-2</v>
      </c>
      <c r="E44" s="1">
        <f>D43-D44</f>
        <v>0.54500000000000004</v>
      </c>
    </row>
    <row r="45" spans="1:10" x14ac:dyDescent="0.25">
      <c r="A45" s="10" t="s">
        <v>7</v>
      </c>
      <c r="B45" s="1">
        <v>2</v>
      </c>
      <c r="C45" s="1">
        <v>1</v>
      </c>
      <c r="D45" s="1">
        <v>0.5</v>
      </c>
      <c r="E45" s="1">
        <v>0.25</v>
      </c>
      <c r="F45" s="1">
        <v>0.125</v>
      </c>
      <c r="G45" s="1">
        <v>0.06</v>
      </c>
    </row>
    <row r="46" spans="1:10" x14ac:dyDescent="0.25">
      <c r="A46" s="10" t="s">
        <v>8</v>
      </c>
      <c r="B46" s="1">
        <v>0.27</v>
      </c>
      <c r="C46" s="1">
        <v>0.29599999999999999</v>
      </c>
      <c r="D46" s="1">
        <v>0.32200000000000001</v>
      </c>
      <c r="E46" s="1">
        <v>0.28399999999999997</v>
      </c>
      <c r="F46" s="1">
        <v>0.45800000000000002</v>
      </c>
      <c r="G46" s="1">
        <v>0.45400000000000001</v>
      </c>
    </row>
    <row r="47" spans="1:10" x14ac:dyDescent="0.25">
      <c r="A47" s="10" t="s">
        <v>25</v>
      </c>
      <c r="B47" s="1">
        <v>8.4000000000000005E-2</v>
      </c>
      <c r="C47" s="1">
        <v>0.113</v>
      </c>
      <c r="D47" s="1">
        <v>0.11600000000000001</v>
      </c>
      <c r="E47" s="1">
        <v>8.6999999999999994E-2</v>
      </c>
      <c r="F47" s="1">
        <v>0.13400000000000001</v>
      </c>
      <c r="G47" s="1">
        <v>0.06</v>
      </c>
      <c r="J47" s="2"/>
    </row>
    <row r="48" spans="1:10" x14ac:dyDescent="0.25">
      <c r="A48" s="10" t="s">
        <v>10</v>
      </c>
      <c r="B48" s="1">
        <f>B46-B47</f>
        <v>0.186</v>
      </c>
      <c r="C48" s="1">
        <f t="shared" ref="C48:G48" si="16">C46-C47</f>
        <v>0.183</v>
      </c>
      <c r="D48" s="1">
        <f t="shared" si="16"/>
        <v>0.20600000000000002</v>
      </c>
      <c r="E48" s="1">
        <f t="shared" si="16"/>
        <v>0.19699999999999998</v>
      </c>
      <c r="F48" s="1">
        <f t="shared" si="16"/>
        <v>0.32400000000000001</v>
      </c>
      <c r="G48" s="1">
        <f t="shared" si="16"/>
        <v>0.39400000000000002</v>
      </c>
      <c r="J48" s="2"/>
    </row>
    <row r="49" spans="1:16" x14ac:dyDescent="0.25">
      <c r="A49" s="10" t="s">
        <v>11</v>
      </c>
      <c r="B49" s="1">
        <f>($E44-B48)/$E44*100</f>
        <v>65.871559633027516</v>
      </c>
      <c r="C49" s="1">
        <f t="shared" ref="C49:G49" si="17">($E44-C48)/$E44*100</f>
        <v>66.422018348623851</v>
      </c>
      <c r="D49" s="1">
        <f t="shared" si="17"/>
        <v>62.201834862385319</v>
      </c>
      <c r="E49" s="1">
        <f t="shared" si="17"/>
        <v>63.853211009174323</v>
      </c>
      <c r="F49" s="1">
        <f t="shared" si="17"/>
        <v>40.550458715596335</v>
      </c>
      <c r="G49" s="1">
        <f t="shared" si="17"/>
        <v>27.706422018348626</v>
      </c>
      <c r="H49" s="1" t="s">
        <v>30</v>
      </c>
      <c r="I49" s="1">
        <f>(50-31.279)/74.005</f>
        <v>0.25296939395986762</v>
      </c>
      <c r="J49" s="2"/>
    </row>
    <row r="50" spans="1:16" x14ac:dyDescent="0.25">
      <c r="A50" s="10" t="s">
        <v>13</v>
      </c>
      <c r="B50" s="1">
        <v>0.23300000000000001</v>
      </c>
      <c r="C50" s="1">
        <v>0.27500000000000002</v>
      </c>
      <c r="D50" s="1">
        <v>0.32300000000000001</v>
      </c>
      <c r="E50" s="1">
        <v>0.34100000000000003</v>
      </c>
      <c r="F50" s="1">
        <v>0.433</v>
      </c>
      <c r="G50" s="1">
        <v>0.46700000000000003</v>
      </c>
      <c r="J50" s="2"/>
      <c r="K50" s="3"/>
      <c r="L50" s="3"/>
      <c r="M50" s="3"/>
      <c r="N50" s="3"/>
      <c r="O50" s="3"/>
      <c r="P50" s="3"/>
    </row>
    <row r="51" spans="1:16" x14ac:dyDescent="0.25">
      <c r="A51" s="10" t="s">
        <v>25</v>
      </c>
      <c r="B51" s="1">
        <v>8.4000000000000005E-2</v>
      </c>
      <c r="C51" s="1">
        <v>0.113</v>
      </c>
      <c r="D51" s="1">
        <v>0.11600000000000001</v>
      </c>
      <c r="E51" s="1">
        <v>8.6999999999999994E-2</v>
      </c>
      <c r="F51" s="1">
        <v>0.13400000000000001</v>
      </c>
      <c r="G51" s="1">
        <v>0.06</v>
      </c>
      <c r="J51" s="2"/>
      <c r="K51" s="3"/>
      <c r="L51" s="3"/>
      <c r="M51" s="3"/>
      <c r="N51" s="3"/>
      <c r="O51" s="3"/>
      <c r="P51" s="3"/>
    </row>
    <row r="52" spans="1:16" x14ac:dyDescent="0.25">
      <c r="A52" s="10" t="s">
        <v>14</v>
      </c>
      <c r="B52" s="1">
        <f>B50-B51</f>
        <v>0.14900000000000002</v>
      </c>
      <c r="C52" s="1">
        <f t="shared" ref="C52:G52" si="18">C50-C51</f>
        <v>0.16200000000000003</v>
      </c>
      <c r="D52" s="1">
        <f t="shared" si="18"/>
        <v>0.20700000000000002</v>
      </c>
      <c r="E52" s="1">
        <f t="shared" si="18"/>
        <v>0.254</v>
      </c>
      <c r="F52" s="1">
        <f t="shared" si="18"/>
        <v>0.29899999999999999</v>
      </c>
      <c r="G52" s="1">
        <f t="shared" si="18"/>
        <v>0.40700000000000003</v>
      </c>
      <c r="J52" s="2"/>
    </row>
    <row r="53" spans="1:16" x14ac:dyDescent="0.25">
      <c r="A53" s="10" t="s">
        <v>15</v>
      </c>
      <c r="B53" s="1">
        <f>($E44-B52)/$E44*100</f>
        <v>72.660550458715591</v>
      </c>
      <c r="C53" s="1">
        <f t="shared" ref="C53:G53" si="19">($E44-C52)/$E44*100</f>
        <v>70.275229357798167</v>
      </c>
      <c r="D53" s="1">
        <f t="shared" si="19"/>
        <v>62.018348623853214</v>
      </c>
      <c r="E53" s="1">
        <f t="shared" si="19"/>
        <v>53.394495412844037</v>
      </c>
      <c r="F53" s="1">
        <f t="shared" si="19"/>
        <v>45.137614678899091</v>
      </c>
      <c r="G53" s="1">
        <f t="shared" si="19"/>
        <v>25.321100917431195</v>
      </c>
      <c r="H53" s="1" t="s">
        <v>31</v>
      </c>
      <c r="I53" s="1">
        <f>(50-29.796)/71.325</f>
        <v>0.28326673676831404</v>
      </c>
    </row>
    <row r="54" spans="1:16" x14ac:dyDescent="0.25">
      <c r="A54" s="10" t="s">
        <v>17</v>
      </c>
      <c r="B54" s="1">
        <v>0.23699999999999999</v>
      </c>
      <c r="C54" s="1">
        <v>0.27100000000000002</v>
      </c>
      <c r="D54" s="1">
        <v>0.37</v>
      </c>
      <c r="E54" s="1">
        <v>0.35599999999999998</v>
      </c>
      <c r="F54" s="1">
        <v>0.39700000000000002</v>
      </c>
      <c r="G54" s="1">
        <v>0.36099999999999999</v>
      </c>
      <c r="J54" s="2"/>
    </row>
    <row r="55" spans="1:16" x14ac:dyDescent="0.25">
      <c r="A55" s="10" t="s">
        <v>25</v>
      </c>
      <c r="B55" s="1">
        <v>8.4000000000000005E-2</v>
      </c>
      <c r="C55" s="1">
        <v>0.113</v>
      </c>
      <c r="D55" s="1">
        <v>0.11600000000000001</v>
      </c>
      <c r="E55" s="1">
        <v>8.6999999999999994E-2</v>
      </c>
      <c r="F55" s="1">
        <v>0.13400000000000001</v>
      </c>
      <c r="G55" s="1">
        <v>0.06</v>
      </c>
      <c r="J55" s="2"/>
    </row>
    <row r="56" spans="1:16" x14ac:dyDescent="0.25">
      <c r="A56" s="10" t="s">
        <v>18</v>
      </c>
      <c r="B56" s="1">
        <f>B54-B55</f>
        <v>0.15299999999999997</v>
      </c>
      <c r="C56" s="1">
        <f>C54-C55</f>
        <v>0.15800000000000003</v>
      </c>
      <c r="D56" s="1">
        <f>D54-D55</f>
        <v>0.254</v>
      </c>
      <c r="E56" s="1">
        <f t="shared" ref="C56:G56" si="20">E54-E55</f>
        <v>0.26900000000000002</v>
      </c>
      <c r="F56" s="1">
        <f t="shared" si="20"/>
        <v>0.26300000000000001</v>
      </c>
      <c r="G56" s="1">
        <f>G54-G55</f>
        <v>0.30099999999999999</v>
      </c>
    </row>
    <row r="57" spans="1:16" x14ac:dyDescent="0.25">
      <c r="A57" s="10" t="s">
        <v>19</v>
      </c>
      <c r="B57" s="1">
        <f>($E44-B56)/$E44*100</f>
        <v>71.926605504587158</v>
      </c>
      <c r="C57" s="1">
        <f t="shared" ref="C57:G57" si="21">($E44-C56)/$E44*100</f>
        <v>71.0091743119266</v>
      </c>
      <c r="D57" s="1">
        <f t="shared" si="21"/>
        <v>53.394495412844037</v>
      </c>
      <c r="E57" s="1">
        <f t="shared" si="21"/>
        <v>50.642201834862391</v>
      </c>
      <c r="F57" s="1">
        <f t="shared" si="21"/>
        <v>51.743119266055047</v>
      </c>
      <c r="G57" s="1">
        <f t="shared" si="21"/>
        <v>44.770642201834868</v>
      </c>
      <c r="H57" s="1" t="s">
        <v>32</v>
      </c>
      <c r="I57" s="1">
        <f>(50-48.164)/13.851</f>
        <v>0.13255360623781665</v>
      </c>
    </row>
    <row r="58" spans="1:16" x14ac:dyDescent="0.25">
      <c r="A58" s="10" t="s">
        <v>21</v>
      </c>
      <c r="B58" s="1">
        <f>STDEV(B49,B53,B57)</f>
        <v>3.7258701921756678</v>
      </c>
      <c r="C58" s="1">
        <f t="shared" ref="C58:G58" si="22">STDEV(C49,C53,C57)</f>
        <v>2.4640045355943343</v>
      </c>
      <c r="D58" s="1">
        <f t="shared" si="22"/>
        <v>5.0327881534362584</v>
      </c>
      <c r="E58" s="1">
        <f t="shared" si="22"/>
        <v>6.9700623534761865</v>
      </c>
      <c r="F58" s="1">
        <f t="shared" si="22"/>
        <v>5.6265789025599613</v>
      </c>
      <c r="G58" s="1">
        <f t="shared" si="22"/>
        <v>10.6078746174615</v>
      </c>
      <c r="H58" s="7" t="s">
        <v>33</v>
      </c>
      <c r="I58" s="7">
        <f>STDEV(I49,I53,I57)</f>
        <v>7.9720698512867783E-2</v>
      </c>
    </row>
    <row r="59" spans="1:16" x14ac:dyDescent="0.25">
      <c r="A59" s="10" t="s">
        <v>23</v>
      </c>
      <c r="B59" s="1">
        <f>AVERAGE(B49,B53,B57)</f>
        <v>70.15290519877675</v>
      </c>
      <c r="C59" s="1">
        <f t="shared" ref="C59:G59" si="23">AVERAGE(C49,C53,C57)</f>
        <v>69.235474006116206</v>
      </c>
      <c r="D59" s="1">
        <f t="shared" si="23"/>
        <v>59.204892966360859</v>
      </c>
      <c r="E59" s="1">
        <f t="shared" si="23"/>
        <v>55.963302752293579</v>
      </c>
      <c r="F59" s="1">
        <f t="shared" si="23"/>
        <v>45.810397553516829</v>
      </c>
      <c r="G59" s="1">
        <f t="shared" si="23"/>
        <v>32.599388379204896</v>
      </c>
      <c r="H59" s="7" t="s">
        <v>34</v>
      </c>
      <c r="I59" s="7">
        <f>AVEDEV(I49,I53,I57)</f>
        <v>6.0250870722788528E-2</v>
      </c>
    </row>
    <row r="62" spans="1:16" x14ac:dyDescent="0.25">
      <c r="B62" s="1" t="s">
        <v>4</v>
      </c>
    </row>
    <row r="63" spans="1:16" x14ac:dyDescent="0.25">
      <c r="C63" s="10" t="s">
        <v>5</v>
      </c>
      <c r="D63" s="1">
        <v>0.435</v>
      </c>
    </row>
    <row r="64" spans="1:16" x14ac:dyDescent="0.25">
      <c r="C64" s="10" t="s">
        <v>6</v>
      </c>
      <c r="D64" s="1">
        <v>1.2E-2</v>
      </c>
      <c r="E64" s="1">
        <f>D63-D64</f>
        <v>0.42299999999999999</v>
      </c>
    </row>
    <row r="65" spans="1:16" x14ac:dyDescent="0.25">
      <c r="A65" s="10" t="s">
        <v>7</v>
      </c>
      <c r="B65" s="1">
        <v>2</v>
      </c>
      <c r="C65" s="1">
        <v>1</v>
      </c>
      <c r="D65" s="1">
        <v>0.5</v>
      </c>
      <c r="E65" s="1">
        <v>0.25</v>
      </c>
      <c r="F65" s="1">
        <v>0.125</v>
      </c>
      <c r="G65" s="1">
        <v>0.06</v>
      </c>
    </row>
    <row r="66" spans="1:16" x14ac:dyDescent="0.25">
      <c r="A66" s="10" t="s">
        <v>8</v>
      </c>
      <c r="B66" s="1">
        <v>0.14199999999999999</v>
      </c>
      <c r="C66" s="1">
        <v>0.156</v>
      </c>
      <c r="D66" s="1">
        <v>0.215</v>
      </c>
      <c r="E66" s="1">
        <v>0.223</v>
      </c>
      <c r="F66" s="1">
        <v>0.23300000000000001</v>
      </c>
      <c r="G66" s="1">
        <v>0.313</v>
      </c>
    </row>
    <row r="67" spans="1:16" x14ac:dyDescent="0.25">
      <c r="A67" s="10" t="s">
        <v>25</v>
      </c>
      <c r="B67" s="1">
        <v>3.5000000000000003E-2</v>
      </c>
      <c r="C67" s="1">
        <v>2.8000000000000001E-2</v>
      </c>
      <c r="D67" s="1">
        <v>2.3E-2</v>
      </c>
      <c r="E67" s="1">
        <v>2.5000000000000001E-2</v>
      </c>
      <c r="F67" s="1">
        <v>1.4E-2</v>
      </c>
      <c r="G67" s="1">
        <v>2.3E-2</v>
      </c>
      <c r="J67" s="2"/>
    </row>
    <row r="68" spans="1:16" x14ac:dyDescent="0.25">
      <c r="A68" s="10" t="s">
        <v>10</v>
      </c>
      <c r="B68" s="1">
        <f>B66-B67</f>
        <v>0.10699999999999998</v>
      </c>
      <c r="C68" s="1">
        <f t="shared" ref="C68:G68" si="24">C66-C67</f>
        <v>0.128</v>
      </c>
      <c r="D68" s="1">
        <f t="shared" si="24"/>
        <v>0.192</v>
      </c>
      <c r="E68" s="1">
        <f t="shared" si="24"/>
        <v>0.19800000000000001</v>
      </c>
      <c r="F68" s="1">
        <f t="shared" si="24"/>
        <v>0.219</v>
      </c>
      <c r="G68" s="1">
        <f t="shared" si="24"/>
        <v>0.28999999999999998</v>
      </c>
      <c r="J68" s="2"/>
    </row>
    <row r="69" spans="1:16" x14ac:dyDescent="0.25">
      <c r="A69" s="10" t="s">
        <v>11</v>
      </c>
      <c r="B69" s="1">
        <f>($E64-B68)/$E64*100</f>
        <v>74.704491725768335</v>
      </c>
      <c r="C69" s="1">
        <f t="shared" ref="C69:G69" si="25">($E64-C68)/$E64*100</f>
        <v>69.739952718676122</v>
      </c>
      <c r="D69" s="1">
        <f t="shared" si="25"/>
        <v>54.609929078014183</v>
      </c>
      <c r="E69" s="1">
        <f t="shared" si="25"/>
        <v>53.191489361702125</v>
      </c>
      <c r="F69" s="1">
        <f t="shared" si="25"/>
        <v>48.226950354609926</v>
      </c>
      <c r="G69" s="1">
        <f t="shared" si="25"/>
        <v>31.442080378250591</v>
      </c>
      <c r="H69" s="1" t="s">
        <v>30</v>
      </c>
      <c r="I69" s="1">
        <f>(50-43.403)/18.17</f>
        <v>0.36307099614749588</v>
      </c>
      <c r="J69" s="2"/>
    </row>
    <row r="70" spans="1:16" x14ac:dyDescent="0.25">
      <c r="A70" s="10" t="s">
        <v>13</v>
      </c>
      <c r="B70" s="1">
        <v>0.11799999999999999</v>
      </c>
      <c r="C70" s="1">
        <v>0.16500000000000001</v>
      </c>
      <c r="D70" s="1">
        <v>0.21</v>
      </c>
      <c r="E70" s="1">
        <v>0.20799999999999999</v>
      </c>
      <c r="F70" s="1">
        <v>0.23899999999999999</v>
      </c>
      <c r="G70" s="1">
        <v>0.35399999999999998</v>
      </c>
      <c r="J70" s="2"/>
      <c r="K70" s="3"/>
      <c r="L70" s="3"/>
      <c r="M70" s="3"/>
      <c r="N70" s="3"/>
      <c r="O70" s="3"/>
      <c r="P70" s="3"/>
    </row>
    <row r="71" spans="1:16" x14ac:dyDescent="0.25">
      <c r="A71" s="10" t="s">
        <v>25</v>
      </c>
      <c r="B71" s="1">
        <v>3.5000000000000003E-2</v>
      </c>
      <c r="C71" s="1">
        <v>2.8000000000000001E-2</v>
      </c>
      <c r="D71" s="1">
        <v>2.3E-2</v>
      </c>
      <c r="E71" s="1">
        <v>2.5000000000000001E-2</v>
      </c>
      <c r="F71" s="1">
        <v>1.4E-2</v>
      </c>
      <c r="G71" s="1">
        <v>2.3E-2</v>
      </c>
      <c r="J71" s="2"/>
      <c r="K71" s="3"/>
      <c r="L71" s="3"/>
      <c r="M71" s="3"/>
      <c r="N71" s="3"/>
      <c r="O71" s="3"/>
      <c r="P71" s="3"/>
    </row>
    <row r="72" spans="1:16" x14ac:dyDescent="0.25">
      <c r="A72" s="10" t="s">
        <v>14</v>
      </c>
      <c r="B72" s="1">
        <f>B70-B71</f>
        <v>8.299999999999999E-2</v>
      </c>
      <c r="C72" s="1">
        <f t="shared" ref="C72:G72" si="26">C70-C71</f>
        <v>0.13700000000000001</v>
      </c>
      <c r="D72" s="1">
        <f t="shared" si="26"/>
        <v>0.187</v>
      </c>
      <c r="E72" s="1">
        <f t="shared" si="26"/>
        <v>0.183</v>
      </c>
      <c r="F72" s="1">
        <f t="shared" si="26"/>
        <v>0.22499999999999998</v>
      </c>
      <c r="G72" s="1">
        <f t="shared" si="26"/>
        <v>0.33099999999999996</v>
      </c>
      <c r="J72" s="2"/>
    </row>
    <row r="73" spans="1:16" x14ac:dyDescent="0.25">
      <c r="A73" s="10" t="s">
        <v>15</v>
      </c>
      <c r="B73" s="1">
        <f>($E64-B72)/$E64*100</f>
        <v>80.378250591016538</v>
      </c>
      <c r="C73" s="1">
        <f t="shared" ref="C73:G73" si="27">($E64-C72)/$E64*100</f>
        <v>67.612293144208039</v>
      </c>
      <c r="D73" s="1">
        <f t="shared" si="27"/>
        <v>55.791962174940899</v>
      </c>
      <c r="E73" s="1">
        <f t="shared" si="27"/>
        <v>56.737588652482273</v>
      </c>
      <c r="F73" s="1">
        <f t="shared" si="27"/>
        <v>46.808510638297875</v>
      </c>
      <c r="G73" s="1">
        <f t="shared" si="27"/>
        <v>21.749408983451541</v>
      </c>
      <c r="H73" s="1" t="s">
        <v>31</v>
      </c>
      <c r="I73" s="1">
        <f>(50-36.061)/35.345</f>
        <v>0.3943697835620314</v>
      </c>
    </row>
    <row r="74" spans="1:16" x14ac:dyDescent="0.25">
      <c r="A74" s="10" t="s">
        <v>17</v>
      </c>
      <c r="B74" s="1">
        <v>0.128</v>
      </c>
      <c r="C74" s="1">
        <v>0.152</v>
      </c>
      <c r="D74" s="1">
        <v>0.19400000000000001</v>
      </c>
      <c r="E74" s="1">
        <v>0.23599999999999999</v>
      </c>
      <c r="F74" s="1">
        <v>0.23699999999999999</v>
      </c>
      <c r="G74" s="1">
        <v>0.33300000000000002</v>
      </c>
      <c r="J74" s="2"/>
    </row>
    <row r="75" spans="1:16" x14ac:dyDescent="0.25">
      <c r="A75" s="10" t="s">
        <v>25</v>
      </c>
      <c r="B75" s="1">
        <v>3.5000000000000003E-2</v>
      </c>
      <c r="C75" s="1">
        <v>2.8000000000000001E-2</v>
      </c>
      <c r="D75" s="1">
        <v>2.3E-2</v>
      </c>
      <c r="E75" s="1">
        <v>2.5000000000000001E-2</v>
      </c>
      <c r="F75" s="1">
        <v>1.4E-2</v>
      </c>
      <c r="G75" s="1">
        <v>2.3E-2</v>
      </c>
      <c r="J75" s="2"/>
    </row>
    <row r="76" spans="1:16" x14ac:dyDescent="0.25">
      <c r="A76" s="10" t="s">
        <v>18</v>
      </c>
      <c r="B76" s="1">
        <f>B74-B75</f>
        <v>9.2999999999999999E-2</v>
      </c>
      <c r="C76" s="1">
        <f t="shared" ref="C76:G76" si="28">C74-C75</f>
        <v>0.124</v>
      </c>
      <c r="D76" s="1">
        <f t="shared" si="28"/>
        <v>0.17100000000000001</v>
      </c>
      <c r="E76" s="1">
        <f t="shared" si="28"/>
        <v>0.21099999999999999</v>
      </c>
      <c r="F76" s="1">
        <f t="shared" si="28"/>
        <v>0.22299999999999998</v>
      </c>
      <c r="G76" s="1">
        <f t="shared" si="28"/>
        <v>0.31</v>
      </c>
    </row>
    <row r="77" spans="1:16" x14ac:dyDescent="0.25">
      <c r="A77" s="10" t="s">
        <v>19</v>
      </c>
      <c r="B77" s="1">
        <f>($E64-B76)/$E64*100</f>
        <v>78.014184397163106</v>
      </c>
      <c r="C77" s="1">
        <f t="shared" ref="C77:G77" si="29">($E64-C76)/$E64*100</f>
        <v>70.685579196217503</v>
      </c>
      <c r="D77" s="1">
        <f t="shared" si="29"/>
        <v>59.574468085106382</v>
      </c>
      <c r="E77" s="1">
        <f t="shared" si="29"/>
        <v>50.118203309692667</v>
      </c>
      <c r="F77" s="1">
        <f t="shared" si="29"/>
        <v>47.281323877068559</v>
      </c>
      <c r="G77" s="1">
        <f t="shared" si="29"/>
        <v>26.713947990543733</v>
      </c>
      <c r="H77" s="1" t="s">
        <v>32</v>
      </c>
      <c r="I77" s="1">
        <f>(50-36.22)/37.869</f>
        <v>0.36388602814967391</v>
      </c>
    </row>
    <row r="78" spans="1:16" x14ac:dyDescent="0.25">
      <c r="A78" s="10" t="s">
        <v>21</v>
      </c>
      <c r="B78" s="1">
        <f>STDEV(B69,B73,B77)</f>
        <v>2.8499828715563504</v>
      </c>
      <c r="C78" s="1">
        <f t="shared" ref="C78:G78" si="30">STDEV(C69,C73,C77)</f>
        <v>1.5740728412480869</v>
      </c>
      <c r="D78" s="1">
        <f t="shared" si="30"/>
        <v>2.5932990814664039</v>
      </c>
      <c r="E78" s="1">
        <f t="shared" si="30"/>
        <v>3.3125058403441647</v>
      </c>
      <c r="F78" s="1">
        <f t="shared" si="30"/>
        <v>0.7222341520812956</v>
      </c>
      <c r="G78" s="1">
        <f t="shared" si="30"/>
        <v>4.8468161748405745</v>
      </c>
      <c r="H78" s="7" t="s">
        <v>33</v>
      </c>
      <c r="I78" s="7">
        <f>STDEV(I69,I73,I77)</f>
        <v>1.7839738950001925E-2</v>
      </c>
    </row>
    <row r="79" spans="1:16" x14ac:dyDescent="0.25">
      <c r="A79" s="10" t="s">
        <v>23</v>
      </c>
      <c r="B79" s="1">
        <f>AVERAGE(B69,B73,B77)</f>
        <v>77.698975571315998</v>
      </c>
      <c r="C79" s="1">
        <f t="shared" ref="C79:G79" si="31">AVERAGE(C69,C73,C77)</f>
        <v>69.345941686367226</v>
      </c>
      <c r="D79" s="1">
        <f t="shared" si="31"/>
        <v>56.658786446020486</v>
      </c>
      <c r="E79" s="1">
        <f t="shared" si="31"/>
        <v>53.349093774625686</v>
      </c>
      <c r="F79" s="1">
        <f t="shared" si="31"/>
        <v>47.438928289992113</v>
      </c>
      <c r="G79" s="1">
        <f t="shared" si="31"/>
        <v>26.635145784081956</v>
      </c>
      <c r="H79" s="7" t="s">
        <v>34</v>
      </c>
      <c r="I79" s="7">
        <f>AVERAGE(I69,I73,I77)</f>
        <v>0.37377560261973369</v>
      </c>
    </row>
    <row r="82" spans="1:9" x14ac:dyDescent="0.25">
      <c r="B82" s="1" t="s">
        <v>35</v>
      </c>
    </row>
    <row r="83" spans="1:9" x14ac:dyDescent="0.25">
      <c r="C83" s="10" t="s">
        <v>5</v>
      </c>
      <c r="D83" s="1">
        <v>0.61199999999999999</v>
      </c>
    </row>
    <row r="84" spans="1:9" x14ac:dyDescent="0.25">
      <c r="C84" s="10" t="s">
        <v>6</v>
      </c>
      <c r="D84" s="1">
        <v>0.13700000000000001</v>
      </c>
      <c r="E84" s="1">
        <f>D83-D84</f>
        <v>0.47499999999999998</v>
      </c>
    </row>
    <row r="85" spans="1:9" x14ac:dyDescent="0.25">
      <c r="A85" s="10" t="s">
        <v>7</v>
      </c>
      <c r="B85" s="1">
        <v>2</v>
      </c>
      <c r="C85" s="1">
        <v>1</v>
      </c>
      <c r="D85" s="1">
        <v>0.5</v>
      </c>
      <c r="E85" s="1">
        <v>0.25</v>
      </c>
      <c r="F85" s="1">
        <v>0.125</v>
      </c>
      <c r="G85" s="1">
        <v>0.06</v>
      </c>
    </row>
    <row r="86" spans="1:9" x14ac:dyDescent="0.25">
      <c r="A86" s="10" t="s">
        <v>8</v>
      </c>
      <c r="B86" s="1">
        <v>0.34100000000000003</v>
      </c>
      <c r="C86" s="1">
        <v>0.65100000000000002</v>
      </c>
      <c r="D86" s="1">
        <v>0.60199999999999998</v>
      </c>
      <c r="E86" s="1">
        <v>0.72199999999999998</v>
      </c>
      <c r="F86" s="1">
        <v>0.68300000000000005</v>
      </c>
      <c r="G86" s="1">
        <v>0.57799999999999996</v>
      </c>
    </row>
    <row r="87" spans="1:9" x14ac:dyDescent="0.25">
      <c r="A87" s="10" t="s">
        <v>25</v>
      </c>
      <c r="B87" s="1">
        <v>0.26400000000000001</v>
      </c>
      <c r="C87" s="1">
        <v>0.55400000000000005</v>
      </c>
      <c r="D87" s="1">
        <v>0.41099999999999998</v>
      </c>
      <c r="E87" s="1">
        <v>0.502</v>
      </c>
      <c r="F87" s="1">
        <v>0.40699999999999997</v>
      </c>
      <c r="G87" s="1">
        <v>0.223</v>
      </c>
    </row>
    <row r="88" spans="1:9" x14ac:dyDescent="0.25">
      <c r="A88" s="10" t="s">
        <v>10</v>
      </c>
      <c r="B88" s="1">
        <f>B86-B87</f>
        <v>7.7000000000000013E-2</v>
      </c>
      <c r="C88" s="1">
        <f>C86-C87</f>
        <v>9.6999999999999975E-2</v>
      </c>
      <c r="D88" s="1">
        <f>D86-D87</f>
        <v>0.191</v>
      </c>
      <c r="E88" s="1">
        <f>E86-E87</f>
        <v>0.21999999999999997</v>
      </c>
      <c r="F88" s="1">
        <f>F86-F87</f>
        <v>0.27600000000000008</v>
      </c>
      <c r="G88" s="1">
        <f>G86-G87</f>
        <v>0.35499999999999998</v>
      </c>
    </row>
    <row r="89" spans="1:9" x14ac:dyDescent="0.25">
      <c r="A89" s="10" t="s">
        <v>11</v>
      </c>
      <c r="B89" s="1">
        <f>($E84-B88)/$E84*100</f>
        <v>83.78947368421052</v>
      </c>
      <c r="C89" s="1">
        <f>($E84-C88)/$E84*100</f>
        <v>79.578947368421055</v>
      </c>
      <c r="D89" s="1">
        <f>($E84-D88)/$E84*100</f>
        <v>59.789473684210527</v>
      </c>
      <c r="E89" s="1">
        <f>($E84-E88)/$E84*100</f>
        <v>53.684210526315788</v>
      </c>
      <c r="F89" s="1">
        <f>($E84-F88)/$E84*100</f>
        <v>41.894736842105246</v>
      </c>
      <c r="G89" s="1">
        <f>($E84-G88)/$E84*100</f>
        <v>25.263157894736842</v>
      </c>
      <c r="H89" s="1" t="s">
        <v>30</v>
      </c>
      <c r="I89" s="1">
        <f>(50-32.824)/49.66</f>
        <v>0.34587192911800246</v>
      </c>
    </row>
    <row r="90" spans="1:9" x14ac:dyDescent="0.25">
      <c r="A90" s="10" t="s">
        <v>13</v>
      </c>
      <c r="B90" s="1">
        <v>0.35399999999999998</v>
      </c>
      <c r="C90" s="1">
        <v>0.67300000000000004</v>
      </c>
      <c r="D90" s="1">
        <v>0.58099999999999996</v>
      </c>
      <c r="E90" s="1">
        <v>0.71199999999999997</v>
      </c>
      <c r="F90" s="1">
        <v>0.66400000000000003</v>
      </c>
      <c r="G90" s="1">
        <v>0.56399999999999995</v>
      </c>
    </row>
    <row r="91" spans="1:9" x14ac:dyDescent="0.25">
      <c r="A91" s="10" t="s">
        <v>25</v>
      </c>
      <c r="B91" s="1">
        <v>0.26400000000000001</v>
      </c>
      <c r="C91" s="1">
        <v>0.55400000000000005</v>
      </c>
      <c r="D91" s="1">
        <v>0.41099999999999998</v>
      </c>
      <c r="E91" s="1">
        <v>0.502</v>
      </c>
      <c r="F91" s="1">
        <v>0.40699999999999997</v>
      </c>
      <c r="G91" s="1">
        <v>0.223</v>
      </c>
    </row>
    <row r="92" spans="1:9" x14ac:dyDescent="0.25">
      <c r="A92" s="10" t="s">
        <v>14</v>
      </c>
      <c r="B92" s="1">
        <f>B90-B91</f>
        <v>8.9999999999999969E-2</v>
      </c>
      <c r="C92" s="1">
        <f t="shared" ref="C92:G92" si="32">C90-C91</f>
        <v>0.11899999999999999</v>
      </c>
      <c r="D92" s="1">
        <f t="shared" si="32"/>
        <v>0.16999999999999998</v>
      </c>
      <c r="E92" s="1">
        <f t="shared" si="32"/>
        <v>0.20999999999999996</v>
      </c>
      <c r="F92" s="1">
        <f t="shared" si="32"/>
        <v>0.25700000000000006</v>
      </c>
      <c r="G92" s="1">
        <f t="shared" si="32"/>
        <v>0.34099999999999997</v>
      </c>
    </row>
    <row r="93" spans="1:9" x14ac:dyDescent="0.25">
      <c r="A93" s="10" t="s">
        <v>15</v>
      </c>
      <c r="B93" s="1">
        <f>($E84-B92)/$E84*100</f>
        <v>81.05263157894737</v>
      </c>
      <c r="C93" s="1">
        <f t="shared" ref="C93:G93" si="33">($E84-C92)/$E84*100</f>
        <v>74.94736842105263</v>
      </c>
      <c r="D93" s="1">
        <f t="shared" si="33"/>
        <v>64.21052631578948</v>
      </c>
      <c r="E93" s="1">
        <f t="shared" si="33"/>
        <v>55.789473684210535</v>
      </c>
      <c r="F93" s="1">
        <f t="shared" si="33"/>
        <v>45.894736842105246</v>
      </c>
      <c r="G93" s="1">
        <f t="shared" si="33"/>
        <v>28.210526315789476</v>
      </c>
      <c r="H93" s="1" t="s">
        <v>31</v>
      </c>
      <c r="I93" s="1">
        <f>(50-43.827)/22.146</f>
        <v>0.27874108191095465</v>
      </c>
    </row>
    <row r="94" spans="1:9" x14ac:dyDescent="0.25">
      <c r="A94" s="10" t="s">
        <v>17</v>
      </c>
      <c r="B94" s="1">
        <v>0.35499999999999998</v>
      </c>
      <c r="C94" s="1">
        <v>0.69599999999999995</v>
      </c>
      <c r="D94" s="1">
        <v>0.60099999999999998</v>
      </c>
      <c r="E94" s="1">
        <v>0.69699999999999995</v>
      </c>
      <c r="F94" s="1">
        <v>0.66800000000000004</v>
      </c>
      <c r="G94" s="1">
        <v>0.61099999999999999</v>
      </c>
    </row>
    <row r="95" spans="1:9" x14ac:dyDescent="0.25">
      <c r="A95" s="10" t="s">
        <v>25</v>
      </c>
      <c r="B95" s="1">
        <v>0.26400000000000001</v>
      </c>
      <c r="C95" s="1">
        <v>0.55400000000000005</v>
      </c>
      <c r="D95" s="1">
        <v>0.41099999999999998</v>
      </c>
      <c r="E95" s="1">
        <v>0.502</v>
      </c>
      <c r="F95" s="1">
        <v>0.40699999999999997</v>
      </c>
      <c r="G95" s="1">
        <v>0.223</v>
      </c>
    </row>
    <row r="96" spans="1:9" x14ac:dyDescent="0.25">
      <c r="A96" s="10" t="s">
        <v>18</v>
      </c>
      <c r="B96" s="1">
        <f>B94-B95</f>
        <v>9.099999999999997E-2</v>
      </c>
      <c r="C96" s="1">
        <f t="shared" ref="C96:G96" si="34">C94-C95</f>
        <v>0.1419999999999999</v>
      </c>
      <c r="D96" s="1">
        <f t="shared" si="34"/>
        <v>0.19</v>
      </c>
      <c r="E96" s="1">
        <f t="shared" si="34"/>
        <v>0.19499999999999995</v>
      </c>
      <c r="F96" s="1">
        <f t="shared" si="34"/>
        <v>0.26100000000000007</v>
      </c>
      <c r="G96" s="1">
        <f t="shared" si="34"/>
        <v>0.38800000000000001</v>
      </c>
    </row>
    <row r="97" spans="1:16" x14ac:dyDescent="0.25">
      <c r="A97" s="10" t="s">
        <v>19</v>
      </c>
      <c r="B97" s="1">
        <f>($E84-B96)/$E84*100</f>
        <v>80.842105263157904</v>
      </c>
      <c r="C97" s="1">
        <f t="shared" ref="C97:G97" si="35">($E84-C96)/$E84*100</f>
        <v>70.105263157894754</v>
      </c>
      <c r="D97" s="1">
        <f t="shared" si="35"/>
        <v>60</v>
      </c>
      <c r="E97" s="1">
        <f t="shared" si="35"/>
        <v>58.947368421052637</v>
      </c>
      <c r="F97" s="1">
        <f t="shared" si="35"/>
        <v>45.052631578947349</v>
      </c>
      <c r="G97" s="1">
        <f t="shared" si="35"/>
        <v>18.315789473684205</v>
      </c>
      <c r="H97" s="1" t="s">
        <v>32</v>
      </c>
      <c r="I97" s="1">
        <f>(50-40.122)/23.516</f>
        <v>0.42005443102568468</v>
      </c>
    </row>
    <row r="98" spans="1:16" x14ac:dyDescent="0.25">
      <c r="A98" s="10" t="s">
        <v>21</v>
      </c>
      <c r="B98" s="1">
        <f>STDEV(B89,B93,B97)</f>
        <v>1.6442630896645518</v>
      </c>
      <c r="C98" s="1">
        <f t="shared" ref="C98:G98" si="36">STDEV(C89,C93,C97)</f>
        <v>4.7372319527684619</v>
      </c>
      <c r="D98" s="1">
        <f t="shared" si="36"/>
        <v>2.4939446517778081</v>
      </c>
      <c r="E98" s="1">
        <f t="shared" si="36"/>
        <v>2.6490647141300907</v>
      </c>
      <c r="F98" s="1">
        <f t="shared" si="36"/>
        <v>2.1087690107111183</v>
      </c>
      <c r="G98" s="1">
        <f t="shared" si="36"/>
        <v>5.0803334169090082</v>
      </c>
      <c r="H98" s="7" t="s">
        <v>33</v>
      </c>
      <c r="I98" s="7">
        <f>STDEV(I89,I93,I97)</f>
        <v>7.0685992098907718E-2</v>
      </c>
    </row>
    <row r="99" spans="1:16" x14ac:dyDescent="0.25">
      <c r="A99" s="10" t="s">
        <v>23</v>
      </c>
      <c r="B99" s="1">
        <f>AVERAGE(B89,B93,B97)</f>
        <v>81.89473684210526</v>
      </c>
      <c r="C99" s="1">
        <f t="shared" ref="C99:G99" si="37">AVERAGE(C89,C93,C97)</f>
        <v>74.877192982456151</v>
      </c>
      <c r="D99" s="1">
        <f t="shared" si="37"/>
        <v>61.333333333333336</v>
      </c>
      <c r="E99" s="1">
        <f t="shared" si="37"/>
        <v>56.140350877192986</v>
      </c>
      <c r="F99" s="1">
        <f t="shared" si="37"/>
        <v>44.280701754385944</v>
      </c>
      <c r="G99" s="1">
        <f t="shared" si="37"/>
        <v>23.929824561403507</v>
      </c>
      <c r="H99" s="7" t="s">
        <v>34</v>
      </c>
      <c r="I99" s="7">
        <f>AVERAGE(I89,I93,I97)</f>
        <v>0.3482224806848806</v>
      </c>
    </row>
    <row r="101" spans="1:16" x14ac:dyDescent="0.25">
      <c r="A101" s="10"/>
      <c r="B101" s="10" t="s">
        <v>28</v>
      </c>
      <c r="C101" s="10"/>
      <c r="D101" s="10"/>
      <c r="E101" s="10"/>
      <c r="F101" s="10"/>
      <c r="G101" s="10"/>
      <c r="H101" s="10"/>
      <c r="I101" s="10"/>
    </row>
    <row r="102" spans="1:16" x14ac:dyDescent="0.25">
      <c r="A102" s="10"/>
      <c r="B102" s="10"/>
      <c r="C102" s="10"/>
      <c r="D102" s="10"/>
      <c r="E102" s="10"/>
      <c r="F102" s="10"/>
      <c r="G102" s="10"/>
      <c r="H102" s="10"/>
      <c r="I102" s="10"/>
    </row>
    <row r="103" spans="1:16" x14ac:dyDescent="0.25">
      <c r="A103" s="10"/>
      <c r="B103" s="10"/>
      <c r="C103" s="10"/>
      <c r="D103" s="10" t="s">
        <v>5</v>
      </c>
      <c r="E103" s="10">
        <v>1.107</v>
      </c>
      <c r="F103" s="10"/>
      <c r="G103" s="10"/>
      <c r="H103" s="10"/>
      <c r="I103" s="10"/>
    </row>
    <row r="104" spans="1:16" x14ac:dyDescent="0.25">
      <c r="A104" s="10"/>
      <c r="B104" s="10"/>
      <c r="C104" s="10"/>
      <c r="D104" s="10" t="s">
        <v>6</v>
      </c>
      <c r="E104" s="10">
        <v>0.129</v>
      </c>
      <c r="F104" s="10">
        <f>E103-E104</f>
        <v>0.97799999999999998</v>
      </c>
      <c r="G104" s="10"/>
      <c r="H104" s="10"/>
      <c r="I104" s="10"/>
    </row>
    <row r="105" spans="1:16" x14ac:dyDescent="0.25">
      <c r="A105" s="10"/>
      <c r="B105" s="10" t="s">
        <v>7</v>
      </c>
      <c r="C105" s="10">
        <v>1</v>
      </c>
      <c r="D105" s="10">
        <v>0.25</v>
      </c>
      <c r="E105" s="10">
        <v>0.125</v>
      </c>
      <c r="F105" s="10">
        <v>0.06</v>
      </c>
      <c r="G105" s="10">
        <v>0.03</v>
      </c>
      <c r="H105" s="10"/>
      <c r="I105" s="10"/>
    </row>
    <row r="106" spans="1:16" x14ac:dyDescent="0.25">
      <c r="A106" s="10"/>
      <c r="B106" s="10" t="s">
        <v>8</v>
      </c>
      <c r="C106" s="10">
        <v>0.56699999999999995</v>
      </c>
      <c r="D106" s="10">
        <v>0.28499999999999998</v>
      </c>
      <c r="E106" s="10">
        <v>0.56499999999999995</v>
      </c>
      <c r="F106" s="10">
        <v>0.97299999999999998</v>
      </c>
      <c r="G106" s="10">
        <v>0.90100000000000002</v>
      </c>
      <c r="H106" s="10"/>
      <c r="I106" s="10"/>
      <c r="J106" s="5"/>
      <c r="K106" s="5"/>
      <c r="L106" s="5"/>
      <c r="M106" s="5"/>
      <c r="N106" s="5"/>
      <c r="P106" s="5"/>
    </row>
    <row r="107" spans="1:16" x14ac:dyDescent="0.25">
      <c r="A107" s="10"/>
      <c r="B107" s="10" t="s">
        <v>9</v>
      </c>
      <c r="C107" s="10">
        <v>0.434</v>
      </c>
      <c r="D107" s="11">
        <v>0.121</v>
      </c>
      <c r="E107" s="11">
        <v>0.23599999999999999</v>
      </c>
      <c r="F107" s="11">
        <v>0.46500000000000002</v>
      </c>
      <c r="G107" s="11">
        <v>0.153</v>
      </c>
      <c r="H107" s="10"/>
      <c r="I107" s="10"/>
      <c r="J107" s="5"/>
      <c r="L107" s="5"/>
      <c r="M107" s="5"/>
      <c r="N107" s="5"/>
      <c r="O107" s="5"/>
      <c r="P107" s="5"/>
    </row>
    <row r="108" spans="1:16" x14ac:dyDescent="0.25">
      <c r="A108" s="10"/>
      <c r="B108" s="10" t="s">
        <v>10</v>
      </c>
      <c r="C108" s="10">
        <f>C106-C107</f>
        <v>0.13299999999999995</v>
      </c>
      <c r="D108" s="10">
        <f>D106-D107</f>
        <v>0.16399999999999998</v>
      </c>
      <c r="E108" s="10">
        <f>E106-E107</f>
        <v>0.32899999999999996</v>
      </c>
      <c r="F108" s="10">
        <f>F106-F107</f>
        <v>0.50800000000000001</v>
      </c>
      <c r="G108" s="10">
        <f>G106-G107</f>
        <v>0.748</v>
      </c>
      <c r="H108" s="10"/>
      <c r="I108" s="10"/>
      <c r="J108" s="5"/>
      <c r="L108" s="5"/>
      <c r="M108" s="5"/>
      <c r="N108" s="5"/>
      <c r="O108" s="5"/>
      <c r="P108" s="5"/>
    </row>
    <row r="109" spans="1:16" x14ac:dyDescent="0.25">
      <c r="A109" s="10"/>
      <c r="B109" s="10" t="s">
        <v>11</v>
      </c>
      <c r="C109" s="10">
        <f>($F104-C108)/$F104*100</f>
        <v>86.400817995910018</v>
      </c>
      <c r="D109" s="10">
        <f>($F104-D108)/$F104*100</f>
        <v>83.231083844580795</v>
      </c>
      <c r="E109" s="10">
        <f>($F104-E108)/$F104*100</f>
        <v>66.359918200408998</v>
      </c>
      <c r="F109" s="10">
        <f>($F104-F108)/$F104*100</f>
        <v>48.057259713701427</v>
      </c>
      <c r="G109" s="10">
        <f>($F104-G108)/$F104*100</f>
        <v>23.517382413087933</v>
      </c>
      <c r="H109" s="10" t="s">
        <v>12</v>
      </c>
      <c r="I109" s="10">
        <f>(50-40.014)/178.4</f>
        <v>5.597533632286994E-2</v>
      </c>
      <c r="J109" s="5"/>
      <c r="L109" s="5"/>
      <c r="M109" s="5"/>
      <c r="N109" s="5"/>
      <c r="O109" s="5"/>
      <c r="P109" s="5"/>
    </row>
    <row r="110" spans="1:16" x14ac:dyDescent="0.25">
      <c r="A110" s="10"/>
      <c r="B110" s="10" t="s">
        <v>13</v>
      </c>
      <c r="C110" s="10">
        <v>0.54500000000000004</v>
      </c>
      <c r="D110" s="10">
        <v>0.29399999999999998</v>
      </c>
      <c r="E110" s="10">
        <v>0.57599999999999996</v>
      </c>
      <c r="F110" s="10">
        <v>0.91600000000000004</v>
      </c>
      <c r="G110" s="10">
        <v>0.89200000000000002</v>
      </c>
      <c r="H110" s="10"/>
      <c r="I110" s="10"/>
      <c r="J110" s="5"/>
      <c r="K110" s="5"/>
      <c r="L110" s="5"/>
      <c r="M110" s="5"/>
      <c r="N110" s="5"/>
      <c r="O110" s="5"/>
      <c r="P110" s="5"/>
    </row>
    <row r="111" spans="1:16" x14ac:dyDescent="0.25">
      <c r="A111" s="10"/>
      <c r="B111" s="10" t="s">
        <v>9</v>
      </c>
      <c r="C111" s="10">
        <v>0.434</v>
      </c>
      <c r="D111" s="10">
        <v>0.121</v>
      </c>
      <c r="E111" s="10">
        <v>0.23599999999999999</v>
      </c>
      <c r="F111" s="10">
        <v>0.46500000000000002</v>
      </c>
      <c r="G111" s="10">
        <v>0.153</v>
      </c>
      <c r="H111" s="10"/>
      <c r="I111" s="10"/>
      <c r="J111" s="6"/>
      <c r="K111" s="6"/>
      <c r="L111" s="6"/>
      <c r="M111" s="6"/>
      <c r="N111" s="6"/>
      <c r="O111" s="6"/>
      <c r="P111" s="6"/>
    </row>
    <row r="112" spans="1:16" x14ac:dyDescent="0.25">
      <c r="A112" s="10"/>
      <c r="B112" s="10" t="s">
        <v>14</v>
      </c>
      <c r="C112" s="10">
        <f>C110-C111</f>
        <v>0.11100000000000004</v>
      </c>
      <c r="D112" s="10">
        <f>D110-D111</f>
        <v>0.17299999999999999</v>
      </c>
      <c r="E112" s="10">
        <f>E110-E111</f>
        <v>0.33999999999999997</v>
      </c>
      <c r="F112" s="10">
        <f>F110-F111</f>
        <v>0.45100000000000001</v>
      </c>
      <c r="G112" s="10">
        <f>G110-G111</f>
        <v>0.73899999999999999</v>
      </c>
      <c r="H112" s="10"/>
      <c r="I112" s="10"/>
      <c r="J112" s="5"/>
      <c r="L112" s="5"/>
      <c r="M112" s="5"/>
      <c r="N112" s="5"/>
      <c r="O112" s="5"/>
      <c r="P112" s="5"/>
    </row>
    <row r="113" spans="1:16" x14ac:dyDescent="0.25">
      <c r="A113" s="10"/>
      <c r="B113" s="10" t="s">
        <v>15</v>
      </c>
      <c r="C113" s="10">
        <f>($F104-C112)/$F104*100</f>
        <v>88.650306748466249</v>
      </c>
      <c r="D113" s="10">
        <f>($F104-D112)/$F104*100</f>
        <v>82.310838445807761</v>
      </c>
      <c r="E113" s="10">
        <f>($F104-E112)/$F104*100</f>
        <v>65.235173824130882</v>
      </c>
      <c r="F113" s="10">
        <f>($F104-F112)/$F104*100</f>
        <v>53.885480572597132</v>
      </c>
      <c r="G113" s="10">
        <f>($F104-G112)/$F104*100</f>
        <v>24.437627811860942</v>
      </c>
      <c r="H113" s="10" t="s">
        <v>16</v>
      </c>
      <c r="I113" s="10">
        <f>(50-20.012)/388.48</f>
        <v>7.7193163097199341E-2</v>
      </c>
      <c r="J113" s="5"/>
      <c r="K113" s="5"/>
      <c r="L113" s="5"/>
      <c r="M113" s="5"/>
      <c r="N113" s="5"/>
      <c r="O113" s="5"/>
      <c r="P113" s="5"/>
    </row>
    <row r="114" spans="1:16" x14ac:dyDescent="0.25">
      <c r="A114" s="10"/>
      <c r="B114" s="10" t="s">
        <v>17</v>
      </c>
      <c r="C114" s="10">
        <v>0.57299999999999995</v>
      </c>
      <c r="D114" s="10">
        <v>0.315</v>
      </c>
      <c r="E114" s="10">
        <v>0.623</v>
      </c>
      <c r="F114" s="10">
        <v>0.92800000000000005</v>
      </c>
      <c r="G114" s="10">
        <v>0.86499999999999999</v>
      </c>
      <c r="H114" s="10"/>
      <c r="I114" s="10"/>
    </row>
    <row r="115" spans="1:16" x14ac:dyDescent="0.25">
      <c r="A115" s="10"/>
      <c r="B115" s="10" t="s">
        <v>9</v>
      </c>
      <c r="C115" s="10">
        <v>0.434</v>
      </c>
      <c r="D115" s="10">
        <v>0.121</v>
      </c>
      <c r="E115" s="10">
        <v>0.23599999999999999</v>
      </c>
      <c r="F115" s="10">
        <v>0.46500000000000002</v>
      </c>
      <c r="G115" s="10">
        <v>0.153</v>
      </c>
      <c r="H115" s="10"/>
      <c r="I115" s="10"/>
    </row>
    <row r="116" spans="1:16" x14ac:dyDescent="0.25">
      <c r="A116" s="10"/>
      <c r="B116" s="10" t="s">
        <v>18</v>
      </c>
      <c r="C116" s="10">
        <f>C114-C115</f>
        <v>0.13899999999999996</v>
      </c>
      <c r="D116" s="10">
        <f>D114-D115</f>
        <v>0.19400000000000001</v>
      </c>
      <c r="E116" s="10">
        <f>E114-E115</f>
        <v>0.38700000000000001</v>
      </c>
      <c r="F116" s="10">
        <f>F114-F115</f>
        <v>0.46300000000000002</v>
      </c>
      <c r="G116" s="10">
        <f>G114-G115</f>
        <v>0.71199999999999997</v>
      </c>
      <c r="H116" s="10"/>
      <c r="I116" s="10"/>
    </row>
    <row r="117" spans="1:16" x14ac:dyDescent="0.25">
      <c r="A117" s="10"/>
      <c r="B117" s="10" t="s">
        <v>19</v>
      </c>
      <c r="C117" s="10">
        <f>($F104-C116)/$F104*100</f>
        <v>85.787321063394685</v>
      </c>
      <c r="D117" s="10">
        <f>($F104-D116)/$F104*100</f>
        <v>80.163599182004091</v>
      </c>
      <c r="E117" s="10">
        <f>($F104-E116)/$F104*100</f>
        <v>60.429447852760731</v>
      </c>
      <c r="F117" s="10">
        <f>($F104-F116)/$F104*100</f>
        <v>52.658486707566453</v>
      </c>
      <c r="G117" s="10">
        <f>($F104-G116)/$F104*100</f>
        <v>27.198364008179958</v>
      </c>
      <c r="H117" s="10" t="s">
        <v>20</v>
      </c>
      <c r="I117" s="10">
        <f>(50-24.346)/312.78</f>
        <v>8.201931069761495E-2</v>
      </c>
    </row>
    <row r="118" spans="1:16" x14ac:dyDescent="0.25">
      <c r="A118" s="10"/>
      <c r="B118" s="10" t="s">
        <v>21</v>
      </c>
      <c r="C118" s="10">
        <f>STDEV(C109,C113,C117)</f>
        <v>1.5073854388204435</v>
      </c>
      <c r="D118" s="10">
        <f>STDEV(D109,D113,D117)</f>
        <v>1.5741108709959821</v>
      </c>
      <c r="E118" s="10">
        <f>STDEV(E109,E113,E117)</f>
        <v>3.1498817588444541</v>
      </c>
      <c r="F118" s="10">
        <f>STDEV(F109,F113,F117)</f>
        <v>3.0725928837048495</v>
      </c>
      <c r="G118" s="10">
        <f>STDEV(G109,G113,G117)</f>
        <v>1.9156435577909194</v>
      </c>
      <c r="H118" s="12" t="s">
        <v>22</v>
      </c>
      <c r="I118" s="12">
        <f>STDEV(I109,I113,I117)</f>
        <v>1.385506210090027E-2</v>
      </c>
    </row>
    <row r="119" spans="1:16" x14ac:dyDescent="0.25">
      <c r="A119" s="10"/>
      <c r="B119" s="10" t="s">
        <v>23</v>
      </c>
      <c r="C119" s="10">
        <f>AVERAGE(C109,C113,C117)</f>
        <v>86.946148602590313</v>
      </c>
      <c r="D119" s="10">
        <f>AVERAGE(D109,D113,D117)</f>
        <v>81.901840490797554</v>
      </c>
      <c r="E119" s="10">
        <f>AVERAGE(E109,E113,E117)</f>
        <v>64.008179959100218</v>
      </c>
      <c r="F119" s="10">
        <f>AVERAGE(F109,F113,F117)</f>
        <v>51.53374233128833</v>
      </c>
      <c r="G119" s="10">
        <f>AVERAGE(G109,G113,G117)</f>
        <v>25.051124744376278</v>
      </c>
      <c r="H119" s="12" t="s">
        <v>24</v>
      </c>
      <c r="I119" s="12">
        <f>AVERAGE(I109,I113,I117)</f>
        <v>7.1729270039228077E-2</v>
      </c>
    </row>
    <row r="120" spans="1:16" x14ac:dyDescent="0.25">
      <c r="J120" s="10"/>
    </row>
    <row r="121" spans="1:16" x14ac:dyDescent="0.25">
      <c r="J121" s="10"/>
    </row>
    <row r="122" spans="1:16" x14ac:dyDescent="0.25">
      <c r="J122" s="10"/>
    </row>
    <row r="123" spans="1:16" x14ac:dyDescent="0.25">
      <c r="J123" s="10"/>
    </row>
    <row r="124" spans="1:16" x14ac:dyDescent="0.25">
      <c r="J124" s="10"/>
    </row>
    <row r="125" spans="1:16" x14ac:dyDescent="0.25">
      <c r="J125" s="10"/>
    </row>
    <row r="126" spans="1:16" x14ac:dyDescent="0.25">
      <c r="J126" s="10"/>
    </row>
    <row r="127" spans="1:16" x14ac:dyDescent="0.25">
      <c r="J127" s="10"/>
    </row>
    <row r="128" spans="1:16" x14ac:dyDescent="0.25">
      <c r="J128" s="10"/>
    </row>
    <row r="129" spans="1:10" x14ac:dyDescent="0.25">
      <c r="J129" s="10"/>
    </row>
    <row r="130" spans="1:10" x14ac:dyDescent="0.25">
      <c r="J130" s="10"/>
    </row>
    <row r="131" spans="1:10" x14ac:dyDescent="0.25">
      <c r="J131" s="10"/>
    </row>
    <row r="132" spans="1:10" x14ac:dyDescent="0.25">
      <c r="J132" s="10"/>
    </row>
    <row r="133" spans="1:10" x14ac:dyDescent="0.25">
      <c r="J133" s="10"/>
    </row>
    <row r="134" spans="1:10" x14ac:dyDescent="0.25">
      <c r="J134" s="10"/>
    </row>
    <row r="135" spans="1:10" x14ac:dyDescent="0.25">
      <c r="J135" s="10"/>
    </row>
    <row r="136" spans="1:10" x14ac:dyDescent="0.25">
      <c r="J136" s="10"/>
    </row>
    <row r="137" spans="1:10" x14ac:dyDescent="0.25">
      <c r="J137" s="10"/>
    </row>
    <row r="138" spans="1:10" x14ac:dyDescent="0.25">
      <c r="J138" s="10"/>
    </row>
    <row r="139" spans="1:10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Elastase</vt:lpstr>
      <vt:lpstr>Collagenase</vt:lpstr>
      <vt:lpstr>Tyrosinase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REVISION </cp:lastModifiedBy>
  <dcterms:created xsi:type="dcterms:W3CDTF">2015-06-05T18:17:20Z</dcterms:created>
  <dcterms:modified xsi:type="dcterms:W3CDTF">2025-03-19T15:31:39Z</dcterms:modified>
</cp:coreProperties>
</file>