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fmsbr-my.sharepoint.com/personal/mauricio_kubo_ufms_br/Documents/Universidade/UFGD/PPGagronegócios/lethicia/Submissao/Land use Policy/dataset_Lethicia_Dorce/"/>
    </mc:Choice>
  </mc:AlternateContent>
  <xr:revisionPtr revIDLastSave="67" documentId="8_{592B1192-F8E9-4A6A-8426-220CF41719D8}" xr6:coauthVersionLast="47" xr6:coauthVersionMax="47" xr10:uidLastSave="{EB3D706A-9784-4295-A137-E16495CAB5CD}"/>
  <bookViews>
    <workbookView xWindow="-108" yWindow="-108" windowWidth="23256" windowHeight="12456" xr2:uid="{0037DAC5-B520-4326-83A1-1022AC0A4F3B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C37" i="1" s="1"/>
  <c r="L32" i="1"/>
  <c r="L37" i="1" s="1"/>
  <c r="N32" i="1"/>
  <c r="N37" i="1" s="1"/>
  <c r="O32" i="1"/>
  <c r="O37" i="1" s="1"/>
  <c r="P32" i="1"/>
  <c r="P37" i="1" s="1"/>
  <c r="Q32" i="1"/>
  <c r="Q37" i="1" s="1"/>
  <c r="R32" i="1"/>
  <c r="R37" i="1" s="1"/>
  <c r="S32" i="1"/>
  <c r="S37" i="1" s="1"/>
  <c r="U32" i="1"/>
  <c r="U37" i="1" s="1"/>
  <c r="V32" i="1" l="1"/>
  <c r="V37" i="1" s="1"/>
  <c r="T32" i="1"/>
  <c r="T37" i="1" s="1"/>
  <c r="M32" i="1"/>
  <c r="M37" i="1" s="1"/>
  <c r="K32" i="1"/>
  <c r="J32" i="1"/>
  <c r="I32" i="1"/>
  <c r="H32" i="1"/>
  <c r="G32" i="1"/>
  <c r="G37" i="1" s="1"/>
  <c r="F32" i="1"/>
  <c r="F37" i="1" s="1"/>
  <c r="E32" i="1"/>
  <c r="E37" i="1" s="1"/>
  <c r="D32" i="1"/>
  <c r="D37" i="1" s="1"/>
  <c r="B45" i="1"/>
  <c r="B46" i="1"/>
  <c r="B50" i="1" s="1"/>
  <c r="B52" i="1" s="1"/>
  <c r="C33" i="1"/>
  <c r="C39" i="1"/>
  <c r="C38" i="1"/>
  <c r="C41" i="1" s="1"/>
  <c r="C43" i="1" s="1"/>
  <c r="C45" i="1" s="1"/>
  <c r="C50" i="1" s="1"/>
  <c r="C52" i="1" s="1"/>
  <c r="D33" i="1"/>
  <c r="D39" i="1"/>
  <c r="D38" i="1" s="1"/>
  <c r="E33" i="1"/>
  <c r="E39" i="1"/>
  <c r="E38" i="1"/>
  <c r="F33" i="1"/>
  <c r="F39" i="1"/>
  <c r="F38" i="1" s="1"/>
  <c r="G33" i="1"/>
  <c r="G39" i="1"/>
  <c r="G38" i="1"/>
  <c r="H33" i="1"/>
  <c r="H39" i="1"/>
  <c r="H38" i="1" s="1"/>
  <c r="I33" i="1"/>
  <c r="I39" i="1"/>
  <c r="I38" i="1" s="1"/>
  <c r="J33" i="1"/>
  <c r="J39" i="1"/>
  <c r="J38" i="1" s="1"/>
  <c r="K33" i="1"/>
  <c r="K39" i="1"/>
  <c r="K38" i="1"/>
  <c r="L33" i="1"/>
  <c r="L39" i="1"/>
  <c r="L38" i="1"/>
  <c r="L41" i="1" s="1"/>
  <c r="L42" i="1"/>
  <c r="M33" i="1"/>
  <c r="M39" i="1"/>
  <c r="M38" i="1"/>
  <c r="N33" i="1"/>
  <c r="N39" i="1"/>
  <c r="N38" i="1" s="1"/>
  <c r="N41" i="1" s="1"/>
  <c r="N43" i="1" s="1"/>
  <c r="N45" i="1" s="1"/>
  <c r="N50" i="1" s="1"/>
  <c r="N52" i="1" s="1"/>
  <c r="O33" i="1"/>
  <c r="O39" i="1"/>
  <c r="O38" i="1"/>
  <c r="O41" i="1" s="1"/>
  <c r="O43" i="1" s="1"/>
  <c r="O45" i="1" s="1"/>
  <c r="O50" i="1" s="1"/>
  <c r="O52" i="1" s="1"/>
  <c r="P33" i="1"/>
  <c r="P39" i="1"/>
  <c r="P38" i="1" s="1"/>
  <c r="P41" i="1" s="1"/>
  <c r="P43" i="1" s="1"/>
  <c r="P45" i="1" s="1"/>
  <c r="P50" i="1" s="1"/>
  <c r="P52" i="1" s="1"/>
  <c r="Q33" i="1"/>
  <c r="Q39" i="1"/>
  <c r="Q38" i="1"/>
  <c r="Q41" i="1" s="1"/>
  <c r="Q43" i="1" s="1"/>
  <c r="Q45" i="1" s="1"/>
  <c r="Q50" i="1" s="1"/>
  <c r="Q52" i="1" s="1"/>
  <c r="R33" i="1"/>
  <c r="R39" i="1"/>
  <c r="R38" i="1" s="1"/>
  <c r="R41" i="1" s="1"/>
  <c r="R43" i="1" s="1"/>
  <c r="R45" i="1" s="1"/>
  <c r="R50" i="1" s="1"/>
  <c r="R52" i="1" s="1"/>
  <c r="S33" i="1"/>
  <c r="S39" i="1"/>
  <c r="S38" i="1"/>
  <c r="S41" i="1" s="1"/>
  <c r="S43" i="1" s="1"/>
  <c r="S45" i="1" s="1"/>
  <c r="S50" i="1" s="1"/>
  <c r="S52" i="1" s="1"/>
  <c r="T33" i="1"/>
  <c r="T39" i="1"/>
  <c r="T38" i="1" s="1"/>
  <c r="T41" i="1" s="1"/>
  <c r="T43" i="1" s="1"/>
  <c r="T45" i="1" s="1"/>
  <c r="T50" i="1" s="1"/>
  <c r="T52" i="1" s="1"/>
  <c r="U33" i="1"/>
  <c r="U39" i="1"/>
  <c r="U38" i="1"/>
  <c r="U41" i="1" s="1"/>
  <c r="U43" i="1" s="1"/>
  <c r="U45" i="1" s="1"/>
  <c r="U50" i="1" s="1"/>
  <c r="U52" i="1" s="1"/>
  <c r="V33" i="1"/>
  <c r="V39" i="1"/>
  <c r="V38" i="1" s="1"/>
  <c r="W33" i="1"/>
  <c r="W39" i="1"/>
  <c r="W40" i="1" s="1"/>
  <c r="W41" i="1" s="1"/>
  <c r="V49" i="1" s="1"/>
  <c r="B62" i="1"/>
  <c r="V41" i="1" l="1"/>
  <c r="V42" i="1"/>
  <c r="V43" i="1" s="1"/>
  <c r="V45" i="1" s="1"/>
  <c r="V50" i="1" s="1"/>
  <c r="V52" i="1" s="1"/>
  <c r="J42" i="1"/>
  <c r="J37" i="1"/>
  <c r="J41" i="1" s="1"/>
  <c r="K42" i="1"/>
  <c r="K37" i="1"/>
  <c r="K41" i="1"/>
  <c r="K43" i="1" s="1"/>
  <c r="K45" i="1" s="1"/>
  <c r="K50" i="1" s="1"/>
  <c r="K52" i="1" s="1"/>
  <c r="M41" i="1"/>
  <c r="M43" i="1" s="1"/>
  <c r="M45" i="1" s="1"/>
  <c r="M50" i="1" s="1"/>
  <c r="M52" i="1" s="1"/>
  <c r="G41" i="1"/>
  <c r="G43" i="1" s="1"/>
  <c r="G45" i="1" s="1"/>
  <c r="G50" i="1" s="1"/>
  <c r="G52" i="1" s="1"/>
  <c r="H42" i="1"/>
  <c r="H37" i="1"/>
  <c r="H41" i="1" s="1"/>
  <c r="I42" i="1"/>
  <c r="I37" i="1"/>
  <c r="I41" i="1" s="1"/>
  <c r="I43" i="1" s="1"/>
  <c r="I45" i="1" s="1"/>
  <c r="I50" i="1" s="1"/>
  <c r="I52" i="1" s="1"/>
  <c r="E41" i="1"/>
  <c r="E43" i="1" s="1"/>
  <c r="E45" i="1" s="1"/>
  <c r="E50" i="1" s="1"/>
  <c r="E52" i="1" s="1"/>
  <c r="F41" i="1"/>
  <c r="F43" i="1" s="1"/>
  <c r="F45" i="1" s="1"/>
  <c r="F50" i="1" s="1"/>
  <c r="F52" i="1" s="1"/>
  <c r="B61" i="1"/>
  <c r="L43" i="1"/>
  <c r="L45" i="1" s="1"/>
  <c r="L50" i="1" s="1"/>
  <c r="L52" i="1" s="1"/>
  <c r="D41" i="1"/>
  <c r="D43" i="1" s="1"/>
  <c r="D45" i="1" s="1"/>
  <c r="D50" i="1" s="1"/>
  <c r="D52" i="1" s="1"/>
  <c r="B63" i="1"/>
  <c r="B64" i="1" s="1"/>
  <c r="J43" i="1" l="1"/>
  <c r="J45" i="1" s="1"/>
  <c r="J50" i="1" s="1"/>
  <c r="J52" i="1" s="1"/>
  <c r="H43" i="1"/>
  <c r="H45" i="1" s="1"/>
  <c r="H50" i="1" s="1"/>
  <c r="H52" i="1" s="1"/>
  <c r="B65" i="1"/>
  <c r="B58" i="1"/>
  <c r="B66" i="1" s="1"/>
  <c r="W52" i="1"/>
  <c r="B55" i="1"/>
  <c r="B57" i="1"/>
  <c r="B60" i="1" s="1"/>
  <c r="B67" i="1"/>
  <c r="B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</author>
    <author>tc={C9A7446C-0D52-40E0-83FE-4575AC2DF213}</author>
  </authors>
  <commentList>
    <comment ref="A38" authorId="0" shapeId="0" xr:uid="{CA34A42B-0D41-4F61-AD65-E0199A0D08B4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Lei nº 9.393, de 1996, art. 11, e Anexo; RITR/2002, art. 34; IN SRF nº 256, de 2002, art. 34). Área total do imóvel: até 50 há . Grau de utilização: &lt; 65% até 80% - taxa 0,20%</t>
        </r>
      </text>
    </comment>
    <comment ref="A39" authorId="0" shapeId="0" xr:uid="{055C4A40-0F80-4971-9E05-1944D1AB3CA4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O valor do ITR a ser pago é obtido mediante a multiplicação do VTNt pela alíquota correspondente,
considerados a área total e o grau de utilização (GU) do imóvel rural.
(Lei nº 9.393, de 1996, art. 11; RITR/2002, art. 35; IN SRF nº 256, de 2002, art. 35).
</t>
        </r>
      </text>
    </comment>
    <comment ref="A40" authorId="0" shapeId="0" xr:uid="{6C83D5F0-04B5-4968-ACE8-A9E3BA8619C7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o valor (custo) de aquisição unitário não poderá ser superior a R$ 1.200,00. </t>
        </r>
      </text>
    </comment>
    <comment ref="A42" authorId="0" shapeId="0" xr:uid="{F6C85859-8620-4334-A8EF-137E22CE769D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lucro antes dos juros x Alíquota} – Parcela a deduzir
aqui foi considerado a aliquota de 27,5% até o ano 5, depois se torna insento. Ano de exercicio 2024.
Professor é preciso verificar se eu não estou fazendo a dedução do Imposto de Renda 2x. Acredito que estou o senhor pode conferir por favor.
Ver célula A3 com A16. Os dois foram 27,5% de tributação.</t>
        </r>
      </text>
    </comment>
    <comment ref="C46" authorId="1" shapeId="0" xr:uid="{C9A7446C-0D52-40E0-83FE-4575AC2DF2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Professor, foi considerado o valor da terra para todos os anos. Nesse arranjo proposto o agricultor possui a própria terra. Pode verificar se este calculo está correto.</t>
      </text>
    </comment>
    <comment ref="R46" authorId="0" shapeId="0" xr:uid="{F663D079-623C-43FE-B407-0411D0DCA11D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Inclui o valor residual de 5% conforme manual da CONAB</t>
        </r>
      </text>
    </comment>
    <comment ref="A47" authorId="0" shapeId="0" xr:uid="{C2B05208-1167-4F53-A3D5-A79FAA7D3878}">
      <text>
        <r>
          <rPr>
            <b/>
            <sz val="9"/>
            <color indexed="81"/>
            <rFont val="Segoe UI"/>
            <family val="2"/>
          </rPr>
          <t>Windows:</t>
        </r>
        <r>
          <rPr>
            <sz val="9"/>
            <color indexed="81"/>
            <rFont val="Segoe UI"/>
            <family val="2"/>
          </rPr>
          <t xml:space="preserve">
CUSTO FIXO - CONAB</t>
        </r>
      </text>
    </comment>
  </commentList>
</comments>
</file>

<file path=xl/sharedStrings.xml><?xml version="1.0" encoding="utf-8"?>
<sst xmlns="http://schemas.openxmlformats.org/spreadsheetml/2006/main" count="170" uniqueCount="88">
  <si>
    <t>INPUTS - PREÇO</t>
  </si>
  <si>
    <t>Dolar</t>
  </si>
  <si>
    <t>Cenário</t>
  </si>
  <si>
    <t>Pessimista</t>
  </si>
  <si>
    <t>Realista</t>
  </si>
  <si>
    <t>Otimista</t>
  </si>
  <si>
    <t>Acerola - price</t>
  </si>
  <si>
    <t>Baru Nut - price</t>
  </si>
  <si>
    <t>Guava - price</t>
  </si>
  <si>
    <t>Orange - price</t>
  </si>
  <si>
    <t>Lemon - price</t>
  </si>
  <si>
    <t>Mango - price</t>
  </si>
  <si>
    <t>Spanish Plum - price</t>
  </si>
  <si>
    <t>Baru Nut - Wood - price</t>
  </si>
  <si>
    <t>Jatoba - Wood - price</t>
  </si>
  <si>
    <t>Purple Trumpet Tree - price</t>
  </si>
  <si>
    <t>Ton of carbon - price</t>
  </si>
  <si>
    <t>INPUTS - PRODUTIVIDADE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</si>
  <si>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</si>
  <si>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</si>
  <si>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</si>
  <si>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</si>
  <si>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</si>
  <si>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</si>
  <si>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</si>
  <si>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</si>
  <si>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</si>
  <si>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</si>
  <si>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</si>
  <si>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</si>
  <si>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</si>
  <si>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</si>
  <si>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</si>
  <si>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</si>
  <si>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</si>
  <si>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</si>
  <si>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</si>
  <si>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</si>
  <si>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Acerola - productivity</t>
  </si>
  <si>
    <t>Baru Nut - productivity</t>
  </si>
  <si>
    <t>Guava - productivity</t>
  </si>
  <si>
    <t>Orange - productivity</t>
  </si>
  <si>
    <t>Lemon - productivity</t>
  </si>
  <si>
    <t>Mango - productivity</t>
  </si>
  <si>
    <t>Spanish Plum - productivity</t>
  </si>
  <si>
    <t>Baru Nut - Wood - productivity</t>
  </si>
  <si>
    <t>Jatoba - Wood - productivity</t>
  </si>
  <si>
    <t>Purple Trumpet Tree - productivity</t>
  </si>
  <si>
    <t>Ton of carbon - productivity</t>
  </si>
  <si>
    <t>Ano 0</t>
  </si>
  <si>
    <t>1. RECEITAS</t>
  </si>
  <si>
    <t xml:space="preserve">2. CUSTOS E DESPESAS VARIÁVEIS  </t>
  </si>
  <si>
    <t>2.1 Maquinário-preparo do solo</t>
  </si>
  <si>
    <t>2.2 Mão de obra</t>
  </si>
  <si>
    <t>2.3 Insumos</t>
  </si>
  <si>
    <t>4. MARGEM DE CONTRIBUIÇÃO</t>
  </si>
  <si>
    <t>5. CUSTOS E DESPESAS FIXAS (exceto depreciação)</t>
  </si>
  <si>
    <t>5.1 Imposto Territorial Rural - ITR</t>
  </si>
  <si>
    <t>5.2 Depreciação</t>
  </si>
  <si>
    <t>6. LUCRO ANTES DOS JUROS E IR</t>
  </si>
  <si>
    <t xml:space="preserve">6.1 IR (%) 27,5% </t>
  </si>
  <si>
    <t>7. LUCRO OPERACIONAL LÍQUIDO</t>
  </si>
  <si>
    <t>7.1 Depreciação</t>
  </si>
  <si>
    <t xml:space="preserve">8. (FCO) FLUXO DE CAIXA OPERACIONAL </t>
  </si>
  <si>
    <t>9. INVESTIMENTOS FIXOS</t>
  </si>
  <si>
    <t>9.1 Terra</t>
  </si>
  <si>
    <t>9.2 Maquina e equipamento</t>
  </si>
  <si>
    <t>10. INVESTIMENTOS CIRCULANTES</t>
  </si>
  <si>
    <t>11. (FCL) FLUXO DE CAIXA LIVRE</t>
  </si>
  <si>
    <t>12. Amortização de juros do financiamento bancário (PRONAF)</t>
  </si>
  <si>
    <t>13. FLUXO DE CAIXA DO PRODUTOR</t>
  </si>
  <si>
    <t>TAXA INTERNA DE RETORNO</t>
  </si>
  <si>
    <t>ao ano</t>
  </si>
  <si>
    <t>CUSTO DO CAPITAL PRÓPRIO (do produtor)</t>
  </si>
  <si>
    <t>VP DO FLUXO DE CAIXA DO PRODUTOR</t>
  </si>
  <si>
    <t>VPL DO FLUXO DE CAIXA DO PRODUTOR</t>
  </si>
  <si>
    <t>INDICE DE GERAÇÃO DE CAIXA</t>
  </si>
  <si>
    <t>(para cada R$ 1,00 real investido, o projeto gera R$ 0,95 de caixa)</t>
  </si>
  <si>
    <t>PAYBACK ATUALIZADO</t>
  </si>
  <si>
    <t>anos</t>
  </si>
  <si>
    <t>VP DOS BENEFÍCIOS</t>
  </si>
  <si>
    <t>VP DOS CUSTOS VARIÁVEIS</t>
  </si>
  <si>
    <t>VP DOS CUSTOS FIXOS</t>
  </si>
  <si>
    <t>VP DOS CUSTOS TOTAIS</t>
  </si>
  <si>
    <t>RELAÇÃO BENEFÍCIO/CUSTO</t>
  </si>
  <si>
    <t>(para cada R$ 1,00 de custos totais, o projeto gera R$ 6,17 de receitas)</t>
  </si>
  <si>
    <t>VALOR ANUAL UNIFORME EQUIVALENTE (VAUE)</t>
  </si>
  <si>
    <t>TAXA INTERNA DE RETORNO MODIFICADA (MIR)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</si>
</sst>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#,##0.0000"/>
    <numFmt numFmtId="166" formatCode="#,##0.00_ ;[Red]\-#,##0.00\ "/>
    <numFmt numFmtId="167" formatCode="#,##0.00_ ;\-#,##0.0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4" xfId="0" applyBorder="1"/>
    <xf numFmtId="0" fontId="2" fillId="0" borderId="5" xfId="0" applyFont="1" applyBorder="1" applyAlignment="1">
      <alignment horizontal="center"/>
    </xf>
    <xf numFmtId="2" fontId="0" fillId="0" borderId="5" xfId="0" applyNumberFormat="1" applyBorder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2" fontId="0" fillId="0" borderId="3" xfId="0" applyNumberFormat="1" applyBorder="1"/>
    <xf numFmtId="0" fontId="0" fillId="0" borderId="3" xfId="0" applyBorder="1"/>
    <xf numFmtId="3" fontId="0" fillId="2" borderId="5" xfId="0" applyNumberFormat="1" applyFill="1" applyBorder="1"/>
    <xf numFmtId="3" fontId="0" fillId="0" borderId="5" xfId="0" applyNumberFormat="1" applyBorder="1"/>
    <xf numFmtId="3" fontId="0" fillId="0" borderId="0" xfId="0" applyNumberFormat="1"/>
    <xf numFmtId="0" fontId="4" fillId="0" borderId="0" xfId="0" applyFont="1"/>
    <xf numFmtId="0" fontId="4" fillId="0" borderId="10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5" fillId="3" borderId="11" xfId="3" applyFont="1" applyFill="1" applyBorder="1" applyAlignment="1">
      <alignment horizontal="center" vertical="center"/>
    </xf>
    <xf numFmtId="164" fontId="5" fillId="3" borderId="0" xfId="3" applyFont="1" applyFill="1" applyBorder="1" applyAlignment="1">
      <alignment horizontal="center" vertical="center"/>
    </xf>
    <xf numFmtId="164" fontId="5" fillId="3" borderId="12" xfId="3" applyFont="1" applyFill="1" applyBorder="1" applyAlignment="1">
      <alignment horizontal="center" vertical="center"/>
    </xf>
    <xf numFmtId="164" fontId="5" fillId="3" borderId="13" xfId="3" applyFont="1" applyFill="1" applyBorder="1" applyAlignment="1">
      <alignment horizontal="center" vertical="center"/>
    </xf>
    <xf numFmtId="0" fontId="6" fillId="0" borderId="0" xfId="0" applyFont="1"/>
    <xf numFmtId="0" fontId="7" fillId="0" borderId="12" xfId="0" applyFont="1" applyBorder="1"/>
    <xf numFmtId="4" fontId="8" fillId="0" borderId="14" xfId="3" applyNumberFormat="1" applyFont="1" applyBorder="1" applyAlignment="1">
      <alignment horizontal="center" vertical="center"/>
    </xf>
    <xf numFmtId="4" fontId="9" fillId="0" borderId="11" xfId="3" applyNumberFormat="1" applyFont="1" applyBorder="1"/>
    <xf numFmtId="44" fontId="6" fillId="0" borderId="15" xfId="0" applyNumberFormat="1" applyFont="1" applyBorder="1"/>
    <xf numFmtId="164" fontId="5" fillId="0" borderId="0" xfId="3" applyFont="1"/>
    <xf numFmtId="4" fontId="6" fillId="0" borderId="14" xfId="3" applyNumberFormat="1" applyFont="1" applyBorder="1" applyAlignment="1">
      <alignment horizontal="center"/>
    </xf>
    <xf numFmtId="4" fontId="5" fillId="0" borderId="12" xfId="3" applyNumberFormat="1" applyFont="1" applyBorder="1" applyAlignment="1">
      <alignment horizontal="center"/>
    </xf>
    <xf numFmtId="4" fontId="5" fillId="0" borderId="13" xfId="3" applyNumberFormat="1" applyFont="1" applyBorder="1" applyAlignment="1">
      <alignment horizontal="center"/>
    </xf>
    <xf numFmtId="164" fontId="6" fillId="0" borderId="14" xfId="3" applyFont="1" applyBorder="1"/>
    <xf numFmtId="4" fontId="6" fillId="0" borderId="0" xfId="3" applyNumberFormat="1" applyFont="1" applyAlignment="1">
      <alignment horizontal="center"/>
    </xf>
    <xf numFmtId="44" fontId="11" fillId="0" borderId="15" xfId="0" applyNumberFormat="1" applyFont="1" applyBorder="1"/>
    <xf numFmtId="164" fontId="6" fillId="0" borderId="0" xfId="3" applyFont="1"/>
    <xf numFmtId="4" fontId="6" fillId="0" borderId="16" xfId="3" applyNumberFormat="1" applyFont="1" applyBorder="1" applyAlignment="1">
      <alignment horizontal="center"/>
    </xf>
    <xf numFmtId="4" fontId="6" fillId="0" borderId="10" xfId="3" applyNumberFormat="1" applyFont="1" applyBorder="1" applyAlignment="1">
      <alignment horizontal="center"/>
    </xf>
    <xf numFmtId="4" fontId="6" fillId="0" borderId="17" xfId="3" applyNumberFormat="1" applyFont="1" applyBorder="1" applyAlignment="1">
      <alignment horizontal="center"/>
    </xf>
    <xf numFmtId="164" fontId="5" fillId="0" borderId="14" xfId="3" applyFont="1" applyBorder="1"/>
    <xf numFmtId="164" fontId="5" fillId="0" borderId="14" xfId="3" applyFont="1" applyBorder="1" applyAlignment="1">
      <alignment horizontal="left"/>
    </xf>
    <xf numFmtId="4" fontId="6" fillId="0" borderId="0" xfId="3" applyNumberFormat="1" applyFont="1"/>
    <xf numFmtId="4" fontId="5" fillId="0" borderId="0" xfId="0" applyNumberFormat="1" applyFont="1"/>
    <xf numFmtId="4" fontId="5" fillId="0" borderId="12" xfId="0" applyNumberFormat="1" applyFont="1" applyBorder="1"/>
    <xf numFmtId="4" fontId="5" fillId="0" borderId="13" xfId="0" applyNumberFormat="1" applyFont="1" applyBorder="1"/>
    <xf numFmtId="164" fontId="6" fillId="0" borderId="14" xfId="3" applyFont="1" applyFill="1" applyBorder="1"/>
    <xf numFmtId="4" fontId="6" fillId="0" borderId="14" xfId="3" applyNumberFormat="1" applyFont="1" applyFill="1" applyBorder="1"/>
    <xf numFmtId="4" fontId="8" fillId="0" borderId="14" xfId="3" applyNumberFormat="1" applyFont="1" applyFill="1" applyBorder="1"/>
    <xf numFmtId="4" fontId="8" fillId="0" borderId="0" xfId="3" applyNumberFormat="1" applyFont="1" applyFill="1"/>
    <xf numFmtId="4" fontId="6" fillId="0" borderId="10" xfId="3" applyNumberFormat="1" applyFont="1" applyBorder="1"/>
    <xf numFmtId="4" fontId="8" fillId="0" borderId="0" xfId="3" applyNumberFormat="1" applyFont="1"/>
    <xf numFmtId="164" fontId="5" fillId="0" borderId="12" xfId="3" applyFont="1" applyBorder="1"/>
    <xf numFmtId="4" fontId="8" fillId="0" borderId="0" xfId="3" applyNumberFormat="1" applyFont="1" applyBorder="1"/>
    <xf numFmtId="4" fontId="9" fillId="0" borderId="12" xfId="3" applyNumberFormat="1" applyFont="1" applyBorder="1"/>
    <xf numFmtId="4" fontId="9" fillId="0" borderId="13" xfId="3" applyNumberFormat="1" applyFont="1" applyBorder="1"/>
    <xf numFmtId="164" fontId="6" fillId="0" borderId="10" xfId="3" applyFont="1" applyFill="1" applyBorder="1"/>
    <xf numFmtId="4" fontId="8" fillId="0" borderId="12" xfId="3" applyNumberFormat="1" applyFont="1" applyBorder="1"/>
    <xf numFmtId="4" fontId="8" fillId="0" borderId="12" xfId="3" applyNumberFormat="1" applyFont="1" applyFill="1" applyBorder="1"/>
    <xf numFmtId="44" fontId="6" fillId="0" borderId="0" xfId="0" applyNumberFormat="1" applyFont="1"/>
    <xf numFmtId="164" fontId="9" fillId="0" borderId="0" xfId="3" applyFont="1"/>
    <xf numFmtId="4" fontId="8" fillId="0" borderId="0" xfId="0" applyNumberFormat="1" applyFont="1"/>
    <xf numFmtId="4" fontId="8" fillId="0" borderId="16" xfId="0" applyNumberFormat="1" applyFont="1" applyBorder="1"/>
    <xf numFmtId="44" fontId="8" fillId="0" borderId="0" xfId="0" applyNumberFormat="1" applyFont="1"/>
    <xf numFmtId="164" fontId="6" fillId="0" borderId="10" xfId="3" applyFont="1" applyBorder="1"/>
    <xf numFmtId="4" fontId="8" fillId="0" borderId="17" xfId="3" applyNumberFormat="1" applyFont="1" applyBorder="1"/>
    <xf numFmtId="164" fontId="5" fillId="0" borderId="0" xfId="3" applyFont="1" applyBorder="1"/>
    <xf numFmtId="4" fontId="9" fillId="0" borderId="12" xfId="1" applyNumberFormat="1" applyFont="1" applyBorder="1"/>
    <xf numFmtId="4" fontId="9" fillId="0" borderId="10" xfId="3" applyNumberFormat="1" applyFont="1" applyBorder="1"/>
    <xf numFmtId="4" fontId="9" fillId="0" borderId="17" xfId="3" applyNumberFormat="1" applyFont="1" applyBorder="1"/>
    <xf numFmtId="164" fontId="6" fillId="0" borderId="0" xfId="3" applyFont="1" applyBorder="1"/>
    <xf numFmtId="4" fontId="8" fillId="0" borderId="10" xfId="3" applyNumberFormat="1" applyFont="1" applyBorder="1"/>
    <xf numFmtId="4" fontId="6" fillId="0" borderId="10" xfId="0" applyNumberFormat="1" applyFont="1" applyBorder="1"/>
    <xf numFmtId="4" fontId="6" fillId="0" borderId="12" xfId="0" applyNumberFormat="1" applyFont="1" applyBorder="1"/>
    <xf numFmtId="4" fontId="9" fillId="0" borderId="0" xfId="1" applyNumberFormat="1" applyFont="1" applyAlignment="1">
      <alignment horizontal="right" vertical="center"/>
    </xf>
    <xf numFmtId="4" fontId="8" fillId="0" borderId="12" xfId="1" applyNumberFormat="1" applyFont="1" applyBorder="1"/>
    <xf numFmtId="164" fontId="12" fillId="0" borderId="12" xfId="3" applyFont="1" applyBorder="1"/>
    <xf numFmtId="164" fontId="5" fillId="0" borderId="10" xfId="3" applyFont="1" applyBorder="1"/>
    <xf numFmtId="4" fontId="9" fillId="0" borderId="10" xfId="1" applyNumberFormat="1" applyFont="1" applyBorder="1"/>
    <xf numFmtId="4" fontId="13" fillId="0" borderId="10" xfId="1" applyNumberFormat="1" applyFont="1" applyBorder="1"/>
    <xf numFmtId="4" fontId="13" fillId="0" borderId="10" xfId="3" applyNumberFormat="1" applyFont="1" applyBorder="1"/>
    <xf numFmtId="44" fontId="4" fillId="0" borderId="15" xfId="0" applyNumberFormat="1" applyFont="1" applyBorder="1"/>
    <xf numFmtId="44" fontId="14" fillId="0" borderId="0" xfId="3" applyNumberFormat="1" applyFont="1" applyFill="1" applyBorder="1"/>
    <xf numFmtId="44" fontId="15" fillId="0" borderId="0" xfId="3" applyNumberFormat="1" applyFont="1" applyFill="1" applyBorder="1"/>
    <xf numFmtId="44" fontId="16" fillId="0" borderId="0" xfId="3" applyNumberFormat="1" applyFont="1" applyFill="1" applyBorder="1"/>
    <xf numFmtId="44" fontId="14" fillId="0" borderId="0" xfId="0" applyNumberFormat="1" applyFont="1"/>
    <xf numFmtId="0" fontId="14" fillId="0" borderId="0" xfId="0" applyFont="1"/>
    <xf numFmtId="44" fontId="4" fillId="0" borderId="10" xfId="3" applyNumberFormat="1" applyFont="1" applyFill="1" applyBorder="1"/>
    <xf numFmtId="0" fontId="4" fillId="0" borderId="10" xfId="0" applyFont="1" applyBorder="1"/>
    <xf numFmtId="44" fontId="16" fillId="0" borderId="10" xfId="3" applyNumberFormat="1" applyFont="1" applyFill="1" applyBorder="1"/>
    <xf numFmtId="0" fontId="16" fillId="0" borderId="0" xfId="3" applyNumberFormat="1" applyFont="1" applyFill="1" applyBorder="1"/>
    <xf numFmtId="44" fontId="4" fillId="0" borderId="0" xfId="0" applyNumberFormat="1" applyFont="1"/>
    <xf numFmtId="44" fontId="17" fillId="4" borderId="10" xfId="3" applyNumberFormat="1" applyFont="1" applyFill="1" applyBorder="1"/>
    <xf numFmtId="10" fontId="17" fillId="4" borderId="0" xfId="2" applyNumberFormat="1" applyFont="1" applyFill="1" applyBorder="1"/>
    <xf numFmtId="44" fontId="17" fillId="4" borderId="12" xfId="3" applyNumberFormat="1" applyFont="1" applyFill="1" applyBorder="1"/>
    <xf numFmtId="44" fontId="17" fillId="0" borderId="0" xfId="3" applyNumberFormat="1" applyFont="1" applyFill="1" applyBorder="1"/>
    <xf numFmtId="44" fontId="17" fillId="0" borderId="12" xfId="3" applyNumberFormat="1" applyFont="1" applyFill="1" applyBorder="1"/>
    <xf numFmtId="10" fontId="17" fillId="0" borderId="12" xfId="2" applyNumberFormat="1" applyFont="1" applyFill="1" applyBorder="1"/>
    <xf numFmtId="1" fontId="16" fillId="0" borderId="0" xfId="3" applyNumberFormat="1" applyFont="1" applyFill="1" applyBorder="1"/>
    <xf numFmtId="4" fontId="17" fillId="0" borderId="0" xfId="2" applyNumberFormat="1" applyFont="1" applyFill="1" applyBorder="1"/>
    <xf numFmtId="165" fontId="16" fillId="0" borderId="0" xfId="3" applyNumberFormat="1" applyFont="1" applyFill="1" applyBorder="1"/>
    <xf numFmtId="44" fontId="17" fillId="4" borderId="14" xfId="3" applyNumberFormat="1" applyFont="1" applyFill="1" applyBorder="1"/>
    <xf numFmtId="4" fontId="17" fillId="4" borderId="14" xfId="3" applyNumberFormat="1" applyFont="1" applyFill="1" applyBorder="1"/>
    <xf numFmtId="44" fontId="17" fillId="0" borderId="14" xfId="3" applyNumberFormat="1" applyFont="1" applyFill="1" applyBorder="1"/>
    <xf numFmtId="2" fontId="17" fillId="4" borderId="12" xfId="3" applyNumberFormat="1" applyFont="1" applyFill="1" applyBorder="1"/>
    <xf numFmtId="4" fontId="17" fillId="4" borderId="0" xfId="3" applyNumberFormat="1" applyFont="1" applyFill="1" applyBorder="1"/>
    <xf numFmtId="166" fontId="17" fillId="0" borderId="14" xfId="3" applyNumberFormat="1" applyFont="1" applyFill="1" applyBorder="1"/>
    <xf numFmtId="44" fontId="16" fillId="0" borderId="14" xfId="3" applyNumberFormat="1" applyFont="1" applyFill="1" applyBorder="1"/>
    <xf numFmtId="44" fontId="16" fillId="0" borderId="12" xfId="3" applyNumberFormat="1" applyFont="1" applyFill="1" applyBorder="1"/>
    <xf numFmtId="2" fontId="17" fillId="4" borderId="14" xfId="3" applyNumberFormat="1" applyFont="1" applyFill="1" applyBorder="1"/>
    <xf numFmtId="167" fontId="17" fillId="4" borderId="14" xfId="1" applyNumberFormat="1" applyFont="1" applyFill="1" applyBorder="1"/>
    <xf numFmtId="10" fontId="17" fillId="4" borderId="14" xfId="2" applyNumberFormat="1" applyFont="1" applyFill="1" applyBorder="1"/>
    <xf numFmtId="167" fontId="10" fillId="0" borderId="0" xfId="0" applyNumberFormat="1" applyFont="1"/>
    <xf numFmtId="167" fontId="11" fillId="0" borderId="15" xfId="0" applyNumberFormat="1" applyFont="1" applyBorder="1"/>
    <xf numFmtId="167" fontId="11" fillId="0" borderId="0" xfId="0" applyNumberFormat="1" applyFont="1"/>
    <xf numFmtId="167" fontId="6" fillId="0" borderId="0" xfId="0" applyNumberFormat="1" applyFont="1"/>
    <xf numFmtId="4" fontId="13" fillId="0" borderId="17" xfId="3" applyNumberFormat="1" applyFont="1" applyBorder="1"/>
    <xf numFmtId="2" fontId="0" fillId="0" borderId="12" xfId="0" applyNumberFormat="1" applyBorder="1"/>
    <xf numFmtId="2" fontId="0" fillId="0" borderId="13" xfId="0" applyNumberFormat="1" applyBorder="1"/>
    <xf numFmtId="44" fontId="17" fillId="4" borderId="0" xfId="3" applyNumberFormat="1" applyFont="1" applyFill="1" applyBorder="1" applyAlignment="1">
      <alignment horizontal="left"/>
    </xf>
    <xf numFmtId="44" fontId="17" fillId="4" borderId="12" xfId="3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4">
    <cellStyle name="Moeda" xfId="1" builtinId="4"/>
    <cellStyle name="Moeda 2" xfId="3" xr:uid="{9B2900A4-3A90-4940-AEAE-0D3A3D7F8AE2}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ETHICIA CAMILA DORCE" id="{9B7B46A9-74F9-41A7-AB12-D560ACE798FD}" userId="S::lethicia_dorce@ufms.br::fef36a35-0c3f-4ac4-9b92-52f5c4439242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6" dT="2023-09-17T17:20:39.28" personId="{9B7B46A9-74F9-41A7-AB12-D560ACE798FD}" id="{C9A7446C-0D52-40E0-83FE-4575AC2DF213}">
    <text>Professor, foi considerado o valor da terra para todos os anos. Nesse arranjo proposto o agricultor possui a própria terra. Pode verificar se este calculo está correto.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ECCC8-8CE7-43D2-BD9E-1C932C2CDF4B}">
  <dimension ref="A1:BJ67"/>
  <sheetViews>
    <sheetView tabSelected="1" zoomScale="70" zoomScaleNormal="70" workbookViewId="0">
      <selection activeCell="H6" sqref="H6"/>
    </sheetView>
  </sheetViews>
  <sheetFormatPr defaultRowHeight="14.4" x14ac:dyDescent="0.3"/>
  <cols>
    <col min="1" max="1" width="60.5546875" bestFit="1" customWidth="1"/>
    <col min="2" max="2" width="16.6640625" bestFit="1" customWidth="1"/>
    <col min="3" max="6" width="15.88671875" bestFit="1" customWidth="1"/>
    <col min="7" max="22" width="14.6640625" bestFit="1" customWidth="1"/>
    <col min="23" max="23" width="16" bestFit="1" customWidth="1"/>
    <col min="24" max="24" width="10.6640625" bestFit="1" customWidth="1"/>
    <col min="25" max="25" width="12.88671875" bestFit="1" customWidth="1"/>
    <col min="26" max="26" width="9" bestFit="1" customWidth="1"/>
    <col min="27" max="27" width="10.6640625" bestFit="1" customWidth="1"/>
    <col min="28" max="28" width="8.33203125" bestFit="1" customWidth="1"/>
    <col min="29" max="29" width="9" bestFit="1" customWidth="1"/>
    <col min="30" max="30" width="10.6640625" bestFit="1" customWidth="1"/>
    <col min="31" max="31" width="8.33203125" bestFit="1" customWidth="1"/>
    <col min="32" max="32" width="9" bestFit="1" customWidth="1"/>
    <col min="33" max="33" width="10.6640625" bestFit="1" customWidth="1"/>
    <col min="34" max="34" width="8.33203125" bestFit="1" customWidth="1"/>
    <col min="35" max="35" width="9" bestFit="1" customWidth="1"/>
    <col min="36" max="36" width="10.6640625" bestFit="1" customWidth="1"/>
    <col min="37" max="37" width="8.33203125" bestFit="1" customWidth="1"/>
    <col min="38" max="38" width="9" bestFit="1" customWidth="1"/>
    <col min="39" max="39" width="10.6640625" bestFit="1" customWidth="1"/>
    <col min="40" max="40" width="8.33203125" bestFit="1" customWidth="1"/>
    <col min="41" max="41" width="9" bestFit="1" customWidth="1"/>
    <col min="42" max="42" width="10.6640625" bestFit="1" customWidth="1"/>
    <col min="43" max="43" width="8.33203125" bestFit="1" customWidth="1"/>
    <col min="44" max="44" width="9" bestFit="1" customWidth="1"/>
    <col min="45" max="45" width="10.6640625" bestFit="1" customWidth="1"/>
    <col min="46" max="46" width="8.33203125" bestFit="1" customWidth="1"/>
    <col min="47" max="47" width="9" bestFit="1" customWidth="1"/>
    <col min="48" max="48" width="10.6640625" bestFit="1" customWidth="1"/>
    <col min="49" max="49" width="8.33203125" bestFit="1" customWidth="1"/>
    <col min="50" max="50" width="9" bestFit="1" customWidth="1"/>
    <col min="51" max="51" width="10.6640625" bestFit="1" customWidth="1"/>
    <col min="52" max="52" width="8.33203125" bestFit="1" customWidth="1"/>
    <col min="53" max="53" width="9" bestFit="1" customWidth="1"/>
    <col min="54" max="54" width="10.6640625" bestFit="1" customWidth="1"/>
    <col min="55" max="55" width="8.33203125" bestFit="1" customWidth="1"/>
    <col min="56" max="56" width="9" bestFit="1" customWidth="1"/>
    <col min="57" max="57" width="10.6640625" bestFit="1" customWidth="1"/>
    <col min="58" max="58" width="8.33203125" bestFit="1" customWidth="1"/>
    <col min="59" max="59" width="9" bestFit="1" customWidth="1"/>
    <col min="60" max="60" width="10.6640625" bestFit="1" customWidth="1"/>
    <col min="61" max="61" width="8.33203125" bestFit="1" customWidth="1"/>
    <col min="62" max="62" width="9" bestFit="1" customWidth="1"/>
  </cols>
  <sheetData>
    <row r="1" spans="1:62" ht="16.2" thickBot="1" x14ac:dyDescent="0.35">
      <c r="A1" s="118" t="s">
        <v>0</v>
      </c>
      <c r="B1" s="119"/>
      <c r="C1" s="119"/>
      <c r="D1" s="119"/>
      <c r="E1" s="120"/>
      <c r="F1" s="1" t="s">
        <v>1</v>
      </c>
      <c r="G1" s="1">
        <v>4.8688000000000002</v>
      </c>
    </row>
    <row r="2" spans="1:62" ht="15.6" x14ac:dyDescent="0.3">
      <c r="A2" s="118" t="s">
        <v>2</v>
      </c>
      <c r="B2" s="120"/>
      <c r="C2" s="2" t="s">
        <v>3</v>
      </c>
      <c r="D2" s="2" t="s">
        <v>4</v>
      </c>
      <c r="E2" s="2" t="s">
        <v>5</v>
      </c>
    </row>
    <row r="3" spans="1:62" x14ac:dyDescent="0.3">
      <c r="A3" s="121" t="s">
        <v>6</v>
      </c>
      <c r="B3" s="122"/>
      <c r="C3" s="3">
        <v>0.30808412750575087</v>
      </c>
      <c r="D3" s="3">
        <v>0.61616825501150174</v>
      </c>
      <c r="E3" s="3">
        <v>0.92425238251725261</v>
      </c>
    </row>
    <row r="4" spans="1:62" x14ac:dyDescent="0.3">
      <c r="A4" s="121" t="s">
        <v>7</v>
      </c>
      <c r="B4" s="122"/>
      <c r="C4" s="3">
        <v>0.10269470916858363</v>
      </c>
      <c r="D4" s="3">
        <v>0.14377259283601707</v>
      </c>
      <c r="E4" s="3">
        <v>7.188629641800854</v>
      </c>
    </row>
    <row r="5" spans="1:62" x14ac:dyDescent="0.3">
      <c r="A5" s="123" t="s">
        <v>8</v>
      </c>
      <c r="B5" s="124"/>
      <c r="C5" s="3">
        <v>0.79535922697062567</v>
      </c>
      <c r="D5" s="3">
        <v>0.851982584309671</v>
      </c>
      <c r="E5" s="3">
        <v>0.91201829310061888</v>
      </c>
    </row>
    <row r="6" spans="1:62" x14ac:dyDescent="0.3">
      <c r="A6" s="116" t="s">
        <v>9</v>
      </c>
      <c r="B6" s="117"/>
      <c r="C6" s="3">
        <v>0.25752535868583165</v>
      </c>
      <c r="D6" s="3">
        <v>0.2798002930222368</v>
      </c>
      <c r="E6" s="3">
        <v>0.29576944846159742</v>
      </c>
    </row>
    <row r="7" spans="1:62" x14ac:dyDescent="0.3">
      <c r="A7" s="116" t="s">
        <v>10</v>
      </c>
      <c r="B7" s="117"/>
      <c r="C7" s="3">
        <v>0.35777189159550493</v>
      </c>
      <c r="D7" s="3">
        <v>0.42196624432882957</v>
      </c>
      <c r="E7" s="3">
        <v>0.48919537821636139</v>
      </c>
    </row>
    <row r="8" spans="1:62" x14ac:dyDescent="0.3">
      <c r="A8" s="116" t="s">
        <v>11</v>
      </c>
      <c r="B8" s="117"/>
      <c r="C8" s="3">
        <v>0.88140132691327722</v>
      </c>
      <c r="D8" s="3">
        <v>1.1278874329061235</v>
      </c>
      <c r="E8" s="3">
        <v>1.373201761657358</v>
      </c>
    </row>
    <row r="9" spans="1:62" x14ac:dyDescent="0.3">
      <c r="A9" s="4" t="s">
        <v>12</v>
      </c>
      <c r="B9" s="5"/>
      <c r="C9" s="6">
        <v>0.10269470916858363</v>
      </c>
      <c r="D9" s="3">
        <v>0.30808412750575087</v>
      </c>
      <c r="E9" s="3">
        <v>0.41077883667433451</v>
      </c>
    </row>
    <row r="10" spans="1:62" x14ac:dyDescent="0.3">
      <c r="A10" s="4" t="s">
        <v>13</v>
      </c>
      <c r="B10" s="5"/>
      <c r="C10" s="6">
        <v>61.994742030890563</v>
      </c>
      <c r="D10" s="3">
        <v>88.563917186986515</v>
      </c>
      <c r="E10" s="3">
        <v>106.27670062438382</v>
      </c>
    </row>
    <row r="11" spans="1:62" x14ac:dyDescent="0.3">
      <c r="A11" s="4" t="s">
        <v>14</v>
      </c>
      <c r="B11" s="5"/>
      <c r="C11" s="6">
        <v>184.73627998685504</v>
      </c>
      <c r="D11" s="3">
        <v>263.90897140979291</v>
      </c>
      <c r="E11" s="3">
        <v>316.69076569175149</v>
      </c>
    </row>
    <row r="12" spans="1:62" x14ac:dyDescent="0.3">
      <c r="A12" s="4" t="s">
        <v>15</v>
      </c>
      <c r="B12" s="5"/>
      <c r="C12" s="6">
        <v>103.33798882681563</v>
      </c>
      <c r="D12" s="3">
        <v>147.62569832402232</v>
      </c>
      <c r="E12" s="3">
        <v>177.15083798882679</v>
      </c>
    </row>
    <row r="13" spans="1:62" x14ac:dyDescent="0.3">
      <c r="A13" s="4" t="s">
        <v>16</v>
      </c>
      <c r="B13" s="7"/>
      <c r="C13" s="6">
        <v>1.0269470916858363</v>
      </c>
      <c r="D13" s="3">
        <v>1.1008872822872167</v>
      </c>
      <c r="E13" s="3">
        <v>1.2323365100230035</v>
      </c>
    </row>
    <row r="15" spans="1:62" ht="15.6" x14ac:dyDescent="0.3">
      <c r="A15" s="129" t="s">
        <v>17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1"/>
    </row>
    <row r="16" spans="1:62" ht="15.6" x14ac:dyDescent="0.3">
      <c r="A16" s="125" t="s">
        <v>2</v>
      </c>
      <c r="B16" s="126"/>
      <c r="C16" s="118" t="s">
        <v>18</v>
      </c>
      <c r="D16" s="119"/>
      <c r="E16" s="120"/>
      <c r="F16" s="118" t="s">
        <v>19</v>
      </c>
      <c r="G16" s="119"/>
      <c r="H16" s="120"/>
      <c r="I16" s="118" t="s">
        <v>20</v>
      </c>
      <c r="J16" s="119"/>
      <c r="K16" s="120"/>
      <c r="L16" s="118" t="s">
        <v>21</v>
      </c>
      <c r="M16" s="119"/>
      <c r="N16" s="120"/>
      <c r="O16" s="118" t="s">
        <v>22</v>
      </c>
      <c r="P16" s="119"/>
      <c r="Q16" s="120"/>
      <c r="R16" s="118" t="s">
        <v>23</v>
      </c>
      <c r="S16" s="119"/>
      <c r="T16" s="120"/>
      <c r="U16" s="118" t="s">
        <v>24</v>
      </c>
      <c r="V16" s="119"/>
      <c r="W16" s="120"/>
      <c r="X16" s="118" t="s">
        <v>25</v>
      </c>
      <c r="Y16" s="119"/>
      <c r="Z16" s="120"/>
      <c r="AA16" s="118" t="s">
        <v>26</v>
      </c>
      <c r="AB16" s="119"/>
      <c r="AC16" s="120"/>
      <c r="AD16" s="118" t="s">
        <v>27</v>
      </c>
      <c r="AE16" s="119"/>
      <c r="AF16" s="120"/>
      <c r="AG16" s="118" t="s">
        <v>28</v>
      </c>
      <c r="AH16" s="119"/>
      <c r="AI16" s="120"/>
      <c r="AJ16" s="118" t="s">
        <v>29</v>
      </c>
      <c r="AK16" s="119"/>
      <c r="AL16" s="120"/>
      <c r="AM16" s="118" t="s">
        <v>30</v>
      </c>
      <c r="AN16" s="119"/>
      <c r="AO16" s="120"/>
      <c r="AP16" s="118" t="s">
        <v>31</v>
      </c>
      <c r="AQ16" s="119"/>
      <c r="AR16" s="120"/>
      <c r="AS16" s="118" t="s">
        <v>32</v>
      </c>
      <c r="AT16" s="119"/>
      <c r="AU16" s="120"/>
      <c r="AV16" s="118" t="s">
        <v>33</v>
      </c>
      <c r="AW16" s="119"/>
      <c r="AX16" s="120"/>
      <c r="AY16" s="118" t="s">
        <v>34</v>
      </c>
      <c r="AZ16" s="119"/>
      <c r="BA16" s="120"/>
      <c r="BB16" s="118" t="s">
        <v>35</v>
      </c>
      <c r="BC16" s="119"/>
      <c r="BD16" s="120"/>
      <c r="BE16" s="118" t="s">
        <v>36</v>
      </c>
      <c r="BF16" s="119"/>
      <c r="BG16" s="120"/>
      <c r="BH16" s="118" t="s">
        <v>37</v>
      </c>
      <c r="BI16" s="119"/>
      <c r="BJ16" s="120"/>
    </row>
    <row r="17" spans="1:62" ht="15.6" x14ac:dyDescent="0.3">
      <c r="A17" s="127"/>
      <c r="B17" s="128"/>
      <c r="C17" s="2" t="s">
        <v>3</v>
      </c>
      <c r="D17" s="2" t="s">
        <v>4</v>
      </c>
      <c r="E17" s="2" t="s">
        <v>5</v>
      </c>
      <c r="F17" s="2" t="s">
        <v>3</v>
      </c>
      <c r="G17" s="2" t="s">
        <v>4</v>
      </c>
      <c r="H17" s="2" t="s">
        <v>5</v>
      </c>
      <c r="I17" s="2" t="s">
        <v>3</v>
      </c>
      <c r="J17" s="2" t="s">
        <v>4</v>
      </c>
      <c r="K17" s="2" t="s">
        <v>5</v>
      </c>
      <c r="L17" s="2" t="s">
        <v>3</v>
      </c>
      <c r="M17" s="2" t="s">
        <v>4</v>
      </c>
      <c r="N17" s="2" t="s">
        <v>5</v>
      </c>
      <c r="O17" s="2" t="s">
        <v>3</v>
      </c>
      <c r="P17" s="2" t="s">
        <v>4</v>
      </c>
      <c r="Q17" s="2" t="s">
        <v>5</v>
      </c>
      <c r="R17" s="2" t="s">
        <v>3</v>
      </c>
      <c r="S17" s="2" t="s">
        <v>4</v>
      </c>
      <c r="T17" s="2" t="s">
        <v>5</v>
      </c>
      <c r="U17" s="2" t="s">
        <v>3</v>
      </c>
      <c r="V17" s="2" t="s">
        <v>4</v>
      </c>
      <c r="W17" s="2" t="s">
        <v>5</v>
      </c>
      <c r="X17" s="2" t="s">
        <v>3</v>
      </c>
      <c r="Y17" s="2" t="s">
        <v>4</v>
      </c>
      <c r="Z17" s="2" t="s">
        <v>5</v>
      </c>
      <c r="AA17" s="2" t="s">
        <v>3</v>
      </c>
      <c r="AB17" s="2" t="s">
        <v>4</v>
      </c>
      <c r="AC17" s="2" t="s">
        <v>5</v>
      </c>
      <c r="AD17" s="2" t="s">
        <v>3</v>
      </c>
      <c r="AE17" s="2" t="s">
        <v>4</v>
      </c>
      <c r="AF17" s="2" t="s">
        <v>5</v>
      </c>
      <c r="AG17" s="2" t="s">
        <v>3</v>
      </c>
      <c r="AH17" s="2" t="s">
        <v>4</v>
      </c>
      <c r="AI17" s="2" t="s">
        <v>5</v>
      </c>
      <c r="AJ17" s="2" t="s">
        <v>3</v>
      </c>
      <c r="AK17" s="2" t="s">
        <v>4</v>
      </c>
      <c r="AL17" s="2" t="s">
        <v>5</v>
      </c>
      <c r="AM17" s="2" t="s">
        <v>3</v>
      </c>
      <c r="AN17" s="2" t="s">
        <v>4</v>
      </c>
      <c r="AO17" s="2" t="s">
        <v>5</v>
      </c>
      <c r="AP17" s="2" t="s">
        <v>3</v>
      </c>
      <c r="AQ17" s="2" t="s">
        <v>4</v>
      </c>
      <c r="AR17" s="2" t="s">
        <v>5</v>
      </c>
      <c r="AS17" s="2" t="s">
        <v>3</v>
      </c>
      <c r="AT17" s="2" t="s">
        <v>4</v>
      </c>
      <c r="AU17" s="2" t="s">
        <v>5</v>
      </c>
      <c r="AV17" s="2" t="s">
        <v>3</v>
      </c>
      <c r="AW17" s="2" t="s">
        <v>4</v>
      </c>
      <c r="AX17" s="2" t="s">
        <v>5</v>
      </c>
      <c r="AY17" s="2" t="s">
        <v>3</v>
      </c>
      <c r="AZ17" s="2" t="s">
        <v>4</v>
      </c>
      <c r="BA17" s="2" t="s">
        <v>5</v>
      </c>
      <c r="BB17" s="2" t="s">
        <v>3</v>
      </c>
      <c r="BC17" s="2" t="s">
        <v>4</v>
      </c>
      <c r="BD17" s="2" t="s">
        <v>5</v>
      </c>
      <c r="BE17" s="2" t="s">
        <v>3</v>
      </c>
      <c r="BF17" s="2" t="s">
        <v>4</v>
      </c>
      <c r="BG17" s="2" t="s">
        <v>5</v>
      </c>
      <c r="BH17" s="2" t="s">
        <v>3</v>
      </c>
      <c r="BI17" s="2" t="s">
        <v>4</v>
      </c>
      <c r="BJ17" s="2" t="s">
        <v>5</v>
      </c>
    </row>
    <row r="18" spans="1:62" x14ac:dyDescent="0.3">
      <c r="A18" s="121" t="s">
        <v>38</v>
      </c>
      <c r="B18" s="122"/>
      <c r="C18" s="8">
        <v>0</v>
      </c>
      <c r="D18" s="8">
        <v>0</v>
      </c>
      <c r="E18" s="8">
        <v>0</v>
      </c>
      <c r="F18" s="9">
        <v>91</v>
      </c>
      <c r="G18" s="9">
        <v>130</v>
      </c>
      <c r="H18" s="9">
        <v>156</v>
      </c>
      <c r="I18" s="9">
        <v>280</v>
      </c>
      <c r="J18" s="9">
        <v>400</v>
      </c>
      <c r="K18" s="9">
        <v>480</v>
      </c>
      <c r="L18" s="9">
        <v>420</v>
      </c>
      <c r="M18" s="9">
        <v>600</v>
      </c>
      <c r="N18" s="9">
        <v>720</v>
      </c>
      <c r="O18" s="9">
        <v>560</v>
      </c>
      <c r="P18" s="9">
        <v>800</v>
      </c>
      <c r="Q18" s="9">
        <v>960</v>
      </c>
      <c r="R18" s="9">
        <v>560</v>
      </c>
      <c r="S18" s="9">
        <v>800</v>
      </c>
      <c r="T18" s="9">
        <v>960</v>
      </c>
      <c r="U18" s="9">
        <v>560</v>
      </c>
      <c r="V18" s="9">
        <v>800</v>
      </c>
      <c r="W18" s="9">
        <v>960</v>
      </c>
      <c r="X18" s="9">
        <v>560</v>
      </c>
      <c r="Y18" s="9">
        <v>800</v>
      </c>
      <c r="Z18" s="9">
        <v>960</v>
      </c>
      <c r="AA18" s="9">
        <v>560</v>
      </c>
      <c r="AB18" s="9">
        <v>800</v>
      </c>
      <c r="AC18" s="9">
        <v>960</v>
      </c>
      <c r="AD18" s="9">
        <v>560</v>
      </c>
      <c r="AE18" s="9">
        <v>800</v>
      </c>
      <c r="AF18" s="9">
        <v>960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</row>
    <row r="19" spans="1:62" x14ac:dyDescent="0.3">
      <c r="A19" s="121" t="s">
        <v>39</v>
      </c>
      <c r="B19" s="122"/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9">
        <v>35</v>
      </c>
      <c r="S19" s="9">
        <v>50</v>
      </c>
      <c r="T19" s="9">
        <v>60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9">
        <v>42</v>
      </c>
      <c r="AB19" s="9">
        <v>60</v>
      </c>
      <c r="AC19" s="9">
        <v>72</v>
      </c>
      <c r="AD19" s="9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9">
        <v>42</v>
      </c>
      <c r="AK19" s="9">
        <v>60</v>
      </c>
      <c r="AL19" s="9">
        <v>72</v>
      </c>
      <c r="AM19" s="8">
        <v>0</v>
      </c>
      <c r="AN19" s="8">
        <v>0</v>
      </c>
      <c r="AO19" s="8">
        <v>0</v>
      </c>
      <c r="AP19" s="8">
        <v>0</v>
      </c>
      <c r="AQ19" s="8">
        <v>0</v>
      </c>
      <c r="AR19" s="8">
        <v>0</v>
      </c>
      <c r="AS19" s="9">
        <v>42</v>
      </c>
      <c r="AT19" s="9">
        <v>60</v>
      </c>
      <c r="AU19" s="9">
        <v>72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9">
        <v>42</v>
      </c>
      <c r="BC19" s="9">
        <v>60</v>
      </c>
      <c r="BD19" s="9">
        <v>72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8">
        <v>0</v>
      </c>
    </row>
    <row r="20" spans="1:62" x14ac:dyDescent="0.3">
      <c r="A20" s="123" t="s">
        <v>40</v>
      </c>
      <c r="B20" s="124"/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9">
        <v>770</v>
      </c>
      <c r="J20" s="9">
        <v>1100</v>
      </c>
      <c r="K20" s="9">
        <v>1320</v>
      </c>
      <c r="L20" s="9">
        <v>1260</v>
      </c>
      <c r="M20" s="9">
        <v>1800</v>
      </c>
      <c r="N20" s="9">
        <v>2160</v>
      </c>
      <c r="O20" s="9">
        <v>2100</v>
      </c>
      <c r="P20" s="9">
        <v>3000</v>
      </c>
      <c r="Q20" s="9">
        <v>3600</v>
      </c>
      <c r="R20" s="9">
        <v>2100</v>
      </c>
      <c r="S20" s="9">
        <v>3000</v>
      </c>
      <c r="T20" s="9">
        <v>3600</v>
      </c>
      <c r="U20" s="9">
        <v>2100</v>
      </c>
      <c r="V20" s="9">
        <v>3000</v>
      </c>
      <c r="W20" s="9">
        <v>3600</v>
      </c>
      <c r="X20" s="9">
        <v>2100</v>
      </c>
      <c r="Y20" s="9">
        <v>3000</v>
      </c>
      <c r="Z20" s="9">
        <v>3600</v>
      </c>
      <c r="AA20" s="9">
        <v>2100</v>
      </c>
      <c r="AB20" s="9">
        <v>3000</v>
      </c>
      <c r="AC20" s="9">
        <v>3600</v>
      </c>
      <c r="AD20" s="9">
        <v>2100</v>
      </c>
      <c r="AE20" s="9">
        <v>3000</v>
      </c>
      <c r="AF20" s="9">
        <v>3600</v>
      </c>
      <c r="AG20" s="9">
        <v>2100</v>
      </c>
      <c r="AH20" s="9">
        <v>3000</v>
      </c>
      <c r="AI20" s="9">
        <v>3600</v>
      </c>
      <c r="AJ20" s="9">
        <v>2100</v>
      </c>
      <c r="AK20" s="9">
        <v>3000</v>
      </c>
      <c r="AL20" s="9">
        <v>3600</v>
      </c>
      <c r="AM20" s="9">
        <v>2100</v>
      </c>
      <c r="AN20" s="9">
        <v>3000</v>
      </c>
      <c r="AO20" s="9">
        <v>3600</v>
      </c>
      <c r="AP20" s="9">
        <v>2100</v>
      </c>
      <c r="AQ20" s="9">
        <v>3000</v>
      </c>
      <c r="AR20" s="9">
        <v>3600</v>
      </c>
      <c r="AS20" s="9">
        <v>2100</v>
      </c>
      <c r="AT20" s="9">
        <v>3000</v>
      </c>
      <c r="AU20" s="9">
        <v>3600</v>
      </c>
      <c r="AV20" s="9">
        <v>2100</v>
      </c>
      <c r="AW20" s="9">
        <v>3000</v>
      </c>
      <c r="AX20" s="9">
        <v>3600</v>
      </c>
      <c r="AY20" s="9">
        <v>2100</v>
      </c>
      <c r="AZ20" s="9">
        <v>3000</v>
      </c>
      <c r="BA20" s="9">
        <v>3600</v>
      </c>
      <c r="BB20" s="9">
        <v>2100</v>
      </c>
      <c r="BC20" s="9">
        <v>3000</v>
      </c>
      <c r="BD20" s="9">
        <v>3600</v>
      </c>
      <c r="BE20" s="9">
        <v>2100</v>
      </c>
      <c r="BF20" s="9">
        <v>3000</v>
      </c>
      <c r="BG20" s="9">
        <v>3600</v>
      </c>
      <c r="BH20" s="9">
        <v>2100</v>
      </c>
      <c r="BI20" s="9">
        <v>3000</v>
      </c>
      <c r="BJ20" s="9">
        <v>3600</v>
      </c>
    </row>
    <row r="21" spans="1:62" x14ac:dyDescent="0.3">
      <c r="A21" s="116" t="s">
        <v>41</v>
      </c>
      <c r="B21" s="117"/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9">
        <v>143</v>
      </c>
      <c r="M21" s="9">
        <v>204</v>
      </c>
      <c r="N21" s="9">
        <v>245</v>
      </c>
      <c r="O21" s="9">
        <v>343</v>
      </c>
      <c r="P21" s="9">
        <v>489.59999999999991</v>
      </c>
      <c r="Q21" s="9">
        <v>588</v>
      </c>
      <c r="R21" s="9">
        <v>628</v>
      </c>
      <c r="S21" s="9">
        <v>897.6</v>
      </c>
      <c r="T21" s="9">
        <v>1077</v>
      </c>
      <c r="U21" s="9">
        <v>771</v>
      </c>
      <c r="V21" s="9">
        <v>1101.5999999999999</v>
      </c>
      <c r="W21" s="9">
        <v>1322</v>
      </c>
      <c r="X21" s="9">
        <v>914</v>
      </c>
      <c r="Y21" s="9">
        <v>1305.5999999999999</v>
      </c>
      <c r="Z21" s="9">
        <v>1567</v>
      </c>
      <c r="AA21" s="9">
        <v>771</v>
      </c>
      <c r="AB21" s="9">
        <v>1101.5999999999999</v>
      </c>
      <c r="AC21" s="9">
        <v>1322</v>
      </c>
      <c r="AD21" s="9">
        <v>771</v>
      </c>
      <c r="AE21" s="9">
        <v>1102</v>
      </c>
      <c r="AF21" s="9">
        <v>1322</v>
      </c>
      <c r="AG21" s="9">
        <v>771</v>
      </c>
      <c r="AH21" s="9">
        <v>1101.5999999999999</v>
      </c>
      <c r="AI21" s="9">
        <v>1322</v>
      </c>
      <c r="AJ21" s="9">
        <v>771</v>
      </c>
      <c r="AK21" s="9">
        <v>1101.5999999999999</v>
      </c>
      <c r="AL21" s="9">
        <v>1322</v>
      </c>
      <c r="AM21" s="9">
        <v>771</v>
      </c>
      <c r="AN21" s="9">
        <v>1101.5999999999999</v>
      </c>
      <c r="AO21" s="9">
        <v>1322</v>
      </c>
      <c r="AP21" s="9">
        <v>771</v>
      </c>
      <c r="AQ21" s="9">
        <v>1101.5999999999999</v>
      </c>
      <c r="AR21" s="9">
        <v>1322</v>
      </c>
      <c r="AS21" s="9">
        <v>771</v>
      </c>
      <c r="AT21" s="9">
        <v>1101.5999999999999</v>
      </c>
      <c r="AU21" s="9">
        <v>1322</v>
      </c>
      <c r="AV21" s="9">
        <v>771</v>
      </c>
      <c r="AW21" s="9">
        <v>1101.5999999999999</v>
      </c>
      <c r="AX21" s="9">
        <v>1322</v>
      </c>
      <c r="AY21" s="9">
        <v>771</v>
      </c>
      <c r="AZ21" s="9">
        <v>1101.5999999999999</v>
      </c>
      <c r="BA21" s="9">
        <v>1322</v>
      </c>
      <c r="BB21" s="9">
        <v>771</v>
      </c>
      <c r="BC21" s="9">
        <v>1101.5999999999999</v>
      </c>
      <c r="BD21" s="9">
        <v>1322</v>
      </c>
      <c r="BE21" s="9">
        <v>771</v>
      </c>
      <c r="BF21" s="9">
        <v>1101.5999999999999</v>
      </c>
      <c r="BG21" s="9">
        <v>1322</v>
      </c>
      <c r="BH21" s="9">
        <v>771</v>
      </c>
      <c r="BI21" s="9">
        <v>1101.5999999999999</v>
      </c>
      <c r="BJ21" s="9">
        <v>1322</v>
      </c>
    </row>
    <row r="22" spans="1:62" x14ac:dyDescent="0.3">
      <c r="A22" s="116" t="s">
        <v>42</v>
      </c>
      <c r="B22" s="117"/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9">
        <v>71</v>
      </c>
      <c r="J22" s="9">
        <v>102</v>
      </c>
      <c r="K22" s="9">
        <v>122</v>
      </c>
      <c r="L22" s="9">
        <v>143</v>
      </c>
      <c r="M22" s="9">
        <v>204</v>
      </c>
      <c r="N22" s="9">
        <v>244</v>
      </c>
      <c r="O22" s="9">
        <v>286</v>
      </c>
      <c r="P22" s="9">
        <v>408</v>
      </c>
      <c r="Q22" s="9">
        <v>489</v>
      </c>
      <c r="R22" s="9">
        <v>428</v>
      </c>
      <c r="S22" s="9">
        <v>612</v>
      </c>
      <c r="T22" s="9">
        <v>734</v>
      </c>
      <c r="U22" s="9">
        <v>571</v>
      </c>
      <c r="V22" s="9">
        <v>816</v>
      </c>
      <c r="W22" s="9">
        <v>979</v>
      </c>
      <c r="X22" s="9">
        <v>714</v>
      </c>
      <c r="Y22" s="9">
        <v>1020</v>
      </c>
      <c r="Z22" s="9">
        <v>1224</v>
      </c>
      <c r="AA22" s="9">
        <v>571</v>
      </c>
      <c r="AB22" s="9">
        <v>816</v>
      </c>
      <c r="AC22" s="9">
        <v>979</v>
      </c>
      <c r="AD22" s="9">
        <v>571</v>
      </c>
      <c r="AE22" s="9">
        <v>816</v>
      </c>
      <c r="AF22" s="9">
        <v>979</v>
      </c>
      <c r="AG22" s="9">
        <v>571</v>
      </c>
      <c r="AH22" s="9">
        <v>816</v>
      </c>
      <c r="AI22" s="9">
        <v>979</v>
      </c>
      <c r="AJ22" s="9">
        <v>571</v>
      </c>
      <c r="AK22" s="9">
        <v>816</v>
      </c>
      <c r="AL22" s="9">
        <v>979</v>
      </c>
      <c r="AM22" s="8">
        <v>0</v>
      </c>
      <c r="AN22" s="8">
        <v>0</v>
      </c>
      <c r="AO22" s="8">
        <v>0</v>
      </c>
      <c r="AP22" s="8">
        <v>0</v>
      </c>
      <c r="AQ22" s="8">
        <v>0</v>
      </c>
      <c r="AR22" s="8">
        <v>0</v>
      </c>
      <c r="AS22" s="8">
        <v>0</v>
      </c>
      <c r="AT22" s="8">
        <v>0</v>
      </c>
      <c r="AU22" s="8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</row>
    <row r="23" spans="1:62" x14ac:dyDescent="0.3">
      <c r="A23" s="116" t="s">
        <v>43</v>
      </c>
      <c r="B23" s="117"/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9">
        <v>262.23076923076917</v>
      </c>
      <c r="M23" s="9">
        <v>374.61538461538458</v>
      </c>
      <c r="N23" s="9">
        <v>449.53846153846149</v>
      </c>
      <c r="O23" s="9">
        <v>396.84615384615381</v>
      </c>
      <c r="P23" s="9">
        <v>566.92307692307691</v>
      </c>
      <c r="Q23" s="9">
        <v>680.30769230769226</v>
      </c>
      <c r="R23" s="9">
        <v>531.46153846153834</v>
      </c>
      <c r="S23" s="9">
        <v>759.23076923076917</v>
      </c>
      <c r="T23" s="9">
        <v>911.07692307692298</v>
      </c>
      <c r="U23" s="9">
        <v>531.46153846153834</v>
      </c>
      <c r="V23" s="9">
        <v>759.23076923076917</v>
      </c>
      <c r="W23" s="9">
        <v>911.07692307692298</v>
      </c>
      <c r="X23" s="9">
        <v>531.46153846153834</v>
      </c>
      <c r="Y23" s="9">
        <v>759.23076923076917</v>
      </c>
      <c r="Z23" s="9">
        <v>911.07692307692298</v>
      </c>
      <c r="AA23" s="9">
        <v>531.46153846153834</v>
      </c>
      <c r="AB23" s="9">
        <v>759.23076923076917</v>
      </c>
      <c r="AC23" s="9">
        <v>911.07692307692298</v>
      </c>
      <c r="AD23" s="9">
        <v>531.46153846153834</v>
      </c>
      <c r="AE23" s="9">
        <v>759.23076923076917</v>
      </c>
      <c r="AF23" s="9">
        <v>911.07692307692298</v>
      </c>
      <c r="AG23" s="9">
        <v>531.46153846153834</v>
      </c>
      <c r="AH23" s="9">
        <v>759.23076923076917</v>
      </c>
      <c r="AI23" s="9">
        <v>911.07692307692298</v>
      </c>
      <c r="AJ23" s="9">
        <v>531.46153846153834</v>
      </c>
      <c r="AK23" s="9">
        <v>759.23076923076917</v>
      </c>
      <c r="AL23" s="9">
        <v>911.07692307692298</v>
      </c>
      <c r="AM23" s="9">
        <v>531.46153846153834</v>
      </c>
      <c r="AN23" s="9">
        <v>759.23076923076917</v>
      </c>
      <c r="AO23" s="9">
        <v>911.07692307692298</v>
      </c>
      <c r="AP23" s="9">
        <v>531.46153846153834</v>
      </c>
      <c r="AQ23" s="9">
        <v>759.23076923076917</v>
      </c>
      <c r="AR23" s="9">
        <v>911.07692307692298</v>
      </c>
      <c r="AS23" s="9">
        <v>531.46153846153834</v>
      </c>
      <c r="AT23" s="9">
        <v>759.23076923076917</v>
      </c>
      <c r="AU23" s="9">
        <v>911.07692307692298</v>
      </c>
      <c r="AV23" s="9">
        <v>531.46153846153834</v>
      </c>
      <c r="AW23" s="9">
        <v>759.23076923076917</v>
      </c>
      <c r="AX23" s="9">
        <v>911.07692307692298</v>
      </c>
      <c r="AY23" s="9">
        <v>531.46153846153834</v>
      </c>
      <c r="AZ23" s="9">
        <v>759.23076923076917</v>
      </c>
      <c r="BA23" s="9">
        <v>911.07692307692298</v>
      </c>
      <c r="BB23" s="9">
        <v>531.46153846153834</v>
      </c>
      <c r="BC23" s="9">
        <v>759.23076923076917</v>
      </c>
      <c r="BD23" s="9">
        <v>911.07692307692298</v>
      </c>
      <c r="BE23" s="9">
        <v>531.46153846153834</v>
      </c>
      <c r="BF23" s="9">
        <v>759.23076923076917</v>
      </c>
      <c r="BG23" s="9">
        <v>911.07692307692298</v>
      </c>
      <c r="BH23" s="9">
        <v>531.46153846153834</v>
      </c>
      <c r="BI23" s="9">
        <v>759.23076923076917</v>
      </c>
      <c r="BJ23" s="9">
        <v>911.07692307692298</v>
      </c>
    </row>
    <row r="24" spans="1:62" x14ac:dyDescent="0.3">
      <c r="A24" s="4" t="s">
        <v>44</v>
      </c>
      <c r="B24" s="5"/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9">
        <v>1120</v>
      </c>
      <c r="J24" s="9">
        <v>1600</v>
      </c>
      <c r="K24" s="9">
        <v>1920</v>
      </c>
      <c r="L24" s="9">
        <v>1400</v>
      </c>
      <c r="M24" s="9">
        <v>2000</v>
      </c>
      <c r="N24" s="9">
        <v>2400</v>
      </c>
      <c r="O24" s="9">
        <v>1400</v>
      </c>
      <c r="P24" s="9">
        <v>2000</v>
      </c>
      <c r="Q24" s="9">
        <v>2400</v>
      </c>
      <c r="R24" s="9">
        <v>1400</v>
      </c>
      <c r="S24" s="9">
        <v>2000</v>
      </c>
      <c r="T24" s="9">
        <v>2400</v>
      </c>
      <c r="U24" s="9">
        <v>1400</v>
      </c>
      <c r="V24" s="9">
        <v>2000</v>
      </c>
      <c r="W24" s="9">
        <v>2400</v>
      </c>
      <c r="X24" s="9">
        <v>1400</v>
      </c>
      <c r="Y24" s="9">
        <v>2000</v>
      </c>
      <c r="Z24" s="9">
        <v>2400</v>
      </c>
      <c r="AA24" s="9">
        <v>1400</v>
      </c>
      <c r="AB24" s="9">
        <v>2000</v>
      </c>
      <c r="AC24" s="9">
        <v>2400</v>
      </c>
      <c r="AD24" s="9">
        <v>1400</v>
      </c>
      <c r="AE24" s="9">
        <v>2000</v>
      </c>
      <c r="AF24" s="9">
        <v>2400</v>
      </c>
      <c r="AG24" s="9">
        <v>1400</v>
      </c>
      <c r="AH24" s="9">
        <v>2000</v>
      </c>
      <c r="AI24" s="9">
        <v>2400</v>
      </c>
      <c r="AJ24" s="9">
        <v>1400</v>
      </c>
      <c r="AK24" s="9">
        <v>2000</v>
      </c>
      <c r="AL24" s="9">
        <v>2400</v>
      </c>
      <c r="AM24" s="9">
        <v>1400</v>
      </c>
      <c r="AN24" s="9">
        <v>2000</v>
      </c>
      <c r="AO24" s="9">
        <v>2400</v>
      </c>
      <c r="AP24" s="9">
        <v>1400</v>
      </c>
      <c r="AQ24" s="9">
        <v>2000</v>
      </c>
      <c r="AR24" s="9">
        <v>2400</v>
      </c>
      <c r="AS24" s="9">
        <v>1400</v>
      </c>
      <c r="AT24" s="9">
        <v>2000</v>
      </c>
      <c r="AU24" s="9">
        <v>2400</v>
      </c>
      <c r="AV24" s="9">
        <v>1400</v>
      </c>
      <c r="AW24" s="9">
        <v>2000</v>
      </c>
      <c r="AX24" s="9">
        <v>2400</v>
      </c>
      <c r="AY24" s="9">
        <v>1400</v>
      </c>
      <c r="AZ24" s="9">
        <v>2000</v>
      </c>
      <c r="BA24" s="9">
        <v>2400</v>
      </c>
      <c r="BB24" s="9">
        <v>1400</v>
      </c>
      <c r="BC24" s="9">
        <v>2000</v>
      </c>
      <c r="BD24" s="9">
        <v>2400</v>
      </c>
      <c r="BE24" s="9">
        <v>1400</v>
      </c>
      <c r="BF24" s="9">
        <v>2000</v>
      </c>
      <c r="BG24" s="9">
        <v>2400</v>
      </c>
      <c r="BH24" s="9">
        <v>1400</v>
      </c>
      <c r="BI24" s="9">
        <v>2000</v>
      </c>
      <c r="BJ24" s="9">
        <v>2400</v>
      </c>
    </row>
    <row r="25" spans="1:62" x14ac:dyDescent="0.3">
      <c r="A25" s="4" t="s">
        <v>45</v>
      </c>
      <c r="B25" s="5"/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8">
        <v>0</v>
      </c>
      <c r="BH25" s="9">
        <v>1</v>
      </c>
      <c r="BI25" s="9">
        <v>2</v>
      </c>
      <c r="BJ25" s="9">
        <v>3</v>
      </c>
    </row>
    <row r="26" spans="1:62" x14ac:dyDescent="0.3">
      <c r="A26" s="4" t="s">
        <v>46</v>
      </c>
      <c r="B26" s="5"/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9">
        <v>1</v>
      </c>
      <c r="BI26" s="9">
        <v>2</v>
      </c>
      <c r="BJ26" s="9">
        <v>3</v>
      </c>
    </row>
    <row r="27" spans="1:62" x14ac:dyDescent="0.3">
      <c r="A27" s="4" t="s">
        <v>47</v>
      </c>
      <c r="B27" s="5"/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0</v>
      </c>
      <c r="BH27" s="9">
        <v>2</v>
      </c>
      <c r="BI27" s="9">
        <v>4</v>
      </c>
      <c r="BJ27" s="9">
        <v>6</v>
      </c>
    </row>
    <row r="28" spans="1:62" x14ac:dyDescent="0.3">
      <c r="A28" s="4" t="s">
        <v>48</v>
      </c>
      <c r="B28" s="7"/>
      <c r="C28" s="9">
        <v>5.6</v>
      </c>
      <c r="D28" s="9">
        <v>8</v>
      </c>
      <c r="E28" s="9">
        <v>9.6</v>
      </c>
      <c r="F28" s="9">
        <v>11</v>
      </c>
      <c r="G28" s="9">
        <v>16</v>
      </c>
      <c r="H28" s="9">
        <v>19</v>
      </c>
      <c r="I28" s="9">
        <v>11</v>
      </c>
      <c r="J28" s="9">
        <v>16</v>
      </c>
      <c r="K28" s="9">
        <v>19</v>
      </c>
      <c r="L28" s="9">
        <v>45</v>
      </c>
      <c r="M28" s="9">
        <v>64</v>
      </c>
      <c r="N28" s="9">
        <v>77</v>
      </c>
      <c r="O28" s="9">
        <v>34</v>
      </c>
      <c r="P28" s="9">
        <v>48</v>
      </c>
      <c r="Q28" s="9">
        <v>58</v>
      </c>
      <c r="R28" s="9">
        <v>22</v>
      </c>
      <c r="S28" s="9">
        <v>64</v>
      </c>
      <c r="T28" s="9">
        <v>38</v>
      </c>
      <c r="U28" s="9">
        <v>45</v>
      </c>
      <c r="V28" s="9">
        <v>64</v>
      </c>
      <c r="W28" s="9">
        <v>77</v>
      </c>
      <c r="X28" s="9">
        <v>45</v>
      </c>
      <c r="Y28" s="9">
        <v>64</v>
      </c>
      <c r="Z28" s="9">
        <v>77</v>
      </c>
      <c r="AA28" s="9">
        <v>45</v>
      </c>
      <c r="AB28" s="9">
        <v>64</v>
      </c>
      <c r="AC28" s="9">
        <v>77</v>
      </c>
      <c r="AD28" s="9">
        <v>45</v>
      </c>
      <c r="AE28" s="9">
        <v>64</v>
      </c>
      <c r="AF28" s="9">
        <v>77</v>
      </c>
      <c r="AG28" s="9">
        <v>34</v>
      </c>
      <c r="AH28" s="9">
        <v>48</v>
      </c>
      <c r="AI28" s="9">
        <v>58</v>
      </c>
      <c r="AJ28" s="9">
        <v>45</v>
      </c>
      <c r="AK28" s="9">
        <v>64</v>
      </c>
      <c r="AL28" s="9">
        <v>77</v>
      </c>
      <c r="AM28" s="9">
        <v>45</v>
      </c>
      <c r="AN28" s="9">
        <v>64</v>
      </c>
      <c r="AO28" s="9">
        <v>77</v>
      </c>
      <c r="AP28" s="9">
        <v>45</v>
      </c>
      <c r="AQ28" s="9">
        <v>64</v>
      </c>
      <c r="AR28" s="9">
        <v>77</v>
      </c>
      <c r="AS28" s="9">
        <v>34</v>
      </c>
      <c r="AT28" s="9">
        <v>48</v>
      </c>
      <c r="AU28" s="9">
        <v>58</v>
      </c>
      <c r="AV28" s="9">
        <v>45</v>
      </c>
      <c r="AW28" s="9">
        <v>64</v>
      </c>
      <c r="AX28" s="9">
        <v>77</v>
      </c>
      <c r="AY28" s="9">
        <v>34</v>
      </c>
      <c r="AZ28" s="9">
        <v>48</v>
      </c>
      <c r="BA28" s="9">
        <v>58</v>
      </c>
      <c r="BB28" s="9">
        <v>45</v>
      </c>
      <c r="BC28" s="9">
        <v>64</v>
      </c>
      <c r="BD28" s="9">
        <v>77</v>
      </c>
      <c r="BE28" s="9">
        <v>34</v>
      </c>
      <c r="BF28" s="9">
        <v>48</v>
      </c>
      <c r="BG28" s="9">
        <v>58</v>
      </c>
      <c r="BH28" s="9">
        <v>45</v>
      </c>
      <c r="BI28" s="9">
        <v>64</v>
      </c>
      <c r="BJ28" s="9">
        <v>77</v>
      </c>
    </row>
    <row r="29" spans="1:62" x14ac:dyDescent="0.3">
      <c r="E29" s="10"/>
    </row>
    <row r="30" spans="1:62" s="11" customFormat="1" thickBot="1" x14ac:dyDescent="0.3">
      <c r="B30" s="12"/>
      <c r="C30" s="13"/>
      <c r="D30" s="14"/>
    </row>
    <row r="31" spans="1:62" ht="16.2" thickBot="1" x14ac:dyDescent="0.35">
      <c r="A31" s="15"/>
      <c r="B31" s="16" t="s">
        <v>49</v>
      </c>
      <c r="C31" s="17" t="s">
        <v>18</v>
      </c>
      <c r="D31" s="17" t="s">
        <v>19</v>
      </c>
      <c r="E31" s="17" t="s">
        <v>20</v>
      </c>
      <c r="F31" s="17" t="s">
        <v>21</v>
      </c>
      <c r="G31" s="17" t="s">
        <v>22</v>
      </c>
      <c r="H31" s="17" t="s">
        <v>23</v>
      </c>
      <c r="I31" s="17" t="s">
        <v>24</v>
      </c>
      <c r="J31" s="17" t="s">
        <v>25</v>
      </c>
      <c r="K31" s="17" t="s">
        <v>26</v>
      </c>
      <c r="L31" s="17" t="s">
        <v>27</v>
      </c>
      <c r="M31" s="17" t="s">
        <v>28</v>
      </c>
      <c r="N31" s="17" t="s">
        <v>29</v>
      </c>
      <c r="O31" s="17" t="s">
        <v>30</v>
      </c>
      <c r="P31" s="17" t="s">
        <v>31</v>
      </c>
      <c r="Q31" s="17" t="s">
        <v>32</v>
      </c>
      <c r="R31" s="17" t="s">
        <v>33</v>
      </c>
      <c r="S31" s="17" t="s">
        <v>34</v>
      </c>
      <c r="T31" s="17" t="s">
        <v>35</v>
      </c>
      <c r="U31" s="17" t="s">
        <v>36</v>
      </c>
      <c r="V31" s="18" t="s">
        <v>37</v>
      </c>
      <c r="W31" s="19"/>
    </row>
    <row r="32" spans="1:62" ht="16.2" thickBot="1" x14ac:dyDescent="0.35">
      <c r="A32" s="20" t="s">
        <v>50</v>
      </c>
      <c r="B32" s="21"/>
      <c r="C32" s="22">
        <f>($D$3*D18)+($D$4*D19)+($D$5*D20)+($D$6*D21)+(D7*D22)+(D8*D23)+($D$9*D24)+($D$10*D25)+($D$11*D26)+($D$12*D27)+($D$13*D28)</f>
        <v>8.8070982582977333</v>
      </c>
      <c r="D32" s="22">
        <f>($D$3*G18)+($D$4*G19)+($D$5*G20)+($D$6*G21)+($D$7*G22)+($D$8*G23)+($D$9*G24)+($D$10*G25)+($D$11*G26)+($D$12*G27)+($D$13*G28)</f>
        <v>97.716069668090697</v>
      </c>
      <c r="E32" s="22">
        <f>($D$3*J18)+($D$4*J19)+($D$5*J20)+($D$6*J21)+($D$7*J22)+($D$8*J23)+($D$9*J24)+($D$10*J25)+($D$11*J26)+($D$12*J27)+($D$13*J28)</f>
        <v>1737.2375021925764</v>
      </c>
      <c r="F32" s="22">
        <f>($D$3*M18)+($D$4*M19)+($D$5*M20)+($D$6*M21)+($D$7*M22)+($D$8*M23)+($D$9*M24)+($D$10*M25)+($D$11*M26)+($D$12*M27)+($D$13*M28)</f>
        <v>3155.5790039427966</v>
      </c>
      <c r="G32" s="22">
        <f>($D$3*P18)+($D$4*P19)+($D$5*P20)+($D$6*P21)+($D$7*P22)+($D$8*P23)+($D$9*P24)+($D$10*P25)+($D$11*P26)+($D$12*P27)+($D$13*P28)</f>
        <v>4666.4710665353623</v>
      </c>
      <c r="H32" s="22">
        <f>($D$3*S18)+($D$4*S19)+($D$5*S20)+($D$6*S21)+($D$7*S22)+($D$8*S23)+($D$9*S24)+($D$10*S25)+($D$11*S26)+($D$12*S27)+($D$13*S28)</f>
        <v>5108.4149554949363</v>
      </c>
      <c r="I32" s="22">
        <f>($D$3*V18)+($D$4*V19)+($D$5*V20)+($D$6*V21)+($D$7*V22)+($D$8*V23)+($D$9*V24)+($D$10*V25)+($D$11*V26)+($D$12*V27)+($D$13*V28)</f>
        <v>5244.3866994727532</v>
      </c>
      <c r="J32" s="22">
        <f>($D$3*Y18)+($D$4*Y19)+($D$5*Y20)+($D$6*Y21)+($D$7*Y22)+($D$8*Y23)+($D$9*Y24)+($D$10*Y25)+($D$11*Y26)+($D$12*Y27)+($D$13*Y28)</f>
        <v>5387.5470730923707</v>
      </c>
      <c r="K32" s="22">
        <f>($D$3*AB18)+($D$4*AB19)+($D$5*AB20)+($D$6*AB21)+($D$7*AB22)+($D$8*AB23)++($D$9*AB24)+($D$10*AB25)+($D$11*AB26)+($D$12*AB27)+($D$13*AB28)</f>
        <v>5253.0130550429139</v>
      </c>
      <c r="L32" s="22">
        <f>($D$3*AE18)+($D$4*AE19)+($D$5*AE20)+($D$6*AE21)+($D$7*AE22)+($D$8*AE23)+($D$9*AE24)+($D$10*AE25)+($D$11*AE26)+($D$12*AE27)+($D$13*AE28)</f>
        <v>5244.4986195899619</v>
      </c>
      <c r="M32" s="22">
        <f>($D$3*AH18)+($D$4*AH19)+($D$5*AH20)+($D$6*AH21)+($D$7*AH22)+($D$8*AH23)+($D$9*AH24)+($D$10*AH25)+($D$11*AH27)+($D$12*AH26)+($D$13*AH28)</f>
        <v>4733.8378989469556</v>
      </c>
      <c r="N32" s="22">
        <f>($D$3*AK18)+($D$4*AK19)+($D$5*AK20)+($D$6*AK21)+($D$7*AK22)+($D$8*AK23)+($D$9*AK24)+($D$10*AK25)+($D$11*AK26)+($D$12*AK27)+($D$13*AK28)</f>
        <v>4760.0784510337126</v>
      </c>
      <c r="O32" s="22">
        <f>($D$3*AN18)+($D$4*AN19)+($D$5*AN20)+($D$6*AN21)+($D$7*AN22)+($D$8*AN23)+($D$9*AN24)+($D$10*AN25)+($D$11*AN26)+($D$12*AN27)+($D$13*AN28)</f>
        <v>4407.1276400912266</v>
      </c>
      <c r="P32" s="22">
        <f>($D$3*AQ18)+($D$4*AQ19)+($D$5*AQ20)+($D$6*AQ21)+($D$7*AQ22)+($D$8*AQ23)+($D$9*AQ24)+($D$10*AQ25)+($D$11*AQ26)+($D$12*AQ27)+($D$13*AQ28)</f>
        <v>4407.1276400912266</v>
      </c>
      <c r="Q32" s="22">
        <f>($D$3*AT18)+($D$4*AT19)+($D$5*AT20)+($D$6*AT21)+($D$7*AT22)+($D$8*AT23)+($D$9*AT24)+($D$10*AT25)+($D$11*AT26)+($D$12*AT27)+($D$13*AT28)</f>
        <v>4398.1397991447921</v>
      </c>
      <c r="R32" s="22">
        <f>($D$3*AW18)+($D$4*AW19)+($D$5*AW20)+($D$6*AW21)+($D$7*AW22)+($D$8*AW23)+($D$9*AW24)+($D$10*AW25)+($D$11*AW26)+($D$12*AW27)+($D$13*AW28)</f>
        <v>4407.1276400912266</v>
      </c>
      <c r="S32" s="22">
        <f>($D$3*AZ18)+($D$4*AZ19)+($D$5*AZ20)+($D$6*AZ21)+($D$7*AZ22)+($D$8*AZ23)+($D$9*AZ24)+($D$10*AZ25)+($D$11*AZ26)+($D$12*AZ27)+($D$13*AZ28)</f>
        <v>4389.5134435746313</v>
      </c>
      <c r="T32" s="22">
        <f>($D$3*BC18)+($D$4*BC19)+($D$5*BC20)+($D$6*BC21)+($D$7*BC22)+($D$8*BC23)+($D$9*BC24)+($D$10*BC25)+($D$11*BC27)+($D$12*BC26)+($D$13*BC28)</f>
        <v>4415.7539956613873</v>
      </c>
      <c r="U32" s="22">
        <f>($D$3*BF18)+($D$4*BF19)+($D$5*BF20)+($D$6*BF21)+($D$7*BF22)+($D$8*BF23)+($D$9*BF24)+($D$10*BF25)+($D$11*BF26)+($D$12*BF27)+($D$13*BF28)</f>
        <v>4389.5134435746313</v>
      </c>
      <c r="V32" s="22">
        <f>($D$3*BI18)+($D$4*BI19)+($D$5*BI20)+($D$6*BI21)+($D$7*BI22)+($D$8*BI23)+($D$9*BI24)+($D$10*BI25)+($D$11*BI26)+($D$12*BI27)+($D$13*BI28)</f>
        <v>5702.5762105808744</v>
      </c>
      <c r="W32" s="23"/>
    </row>
    <row r="33" spans="1:23" ht="16.2" thickBot="1" x14ac:dyDescent="0.35">
      <c r="A33" s="24" t="s">
        <v>51</v>
      </c>
      <c r="B33" s="25"/>
      <c r="C33" s="26">
        <f t="shared" ref="C33:V33" si="0">SUM(C35,C36)</f>
        <v>567.62826569175149</v>
      </c>
      <c r="D33" s="26">
        <f t="shared" si="0"/>
        <v>334.29302908314156</v>
      </c>
      <c r="E33" s="26">
        <f t="shared" si="0"/>
        <v>456.04742441669407</v>
      </c>
      <c r="F33" s="26">
        <f t="shared" si="0"/>
        <v>397.43945119947421</v>
      </c>
      <c r="G33" s="26">
        <f t="shared" si="0"/>
        <v>506.73209004272098</v>
      </c>
      <c r="H33" s="26">
        <f t="shared" si="0"/>
        <v>507.36468945119947</v>
      </c>
      <c r="I33" s="26">
        <f t="shared" si="0"/>
        <v>507.36468945119947</v>
      </c>
      <c r="J33" s="26">
        <f t="shared" si="0"/>
        <v>948.17484801183036</v>
      </c>
      <c r="K33" s="26">
        <f t="shared" si="0"/>
        <v>518.6873973052908</v>
      </c>
      <c r="L33" s="26">
        <f t="shared" si="0"/>
        <v>519.41919980282614</v>
      </c>
      <c r="M33" s="26">
        <f t="shared" si="0"/>
        <v>414.99511173184362</v>
      </c>
      <c r="N33" s="26">
        <f t="shared" si="0"/>
        <v>414.99511173184362</v>
      </c>
      <c r="O33" s="26">
        <f t="shared" si="0"/>
        <v>414.99511173184362</v>
      </c>
      <c r="P33" s="26">
        <f t="shared" si="0"/>
        <v>409.0177661846862</v>
      </c>
      <c r="Q33" s="26">
        <f t="shared" si="0"/>
        <v>414.99511173184362</v>
      </c>
      <c r="R33" s="26">
        <f t="shared" si="0"/>
        <v>414.99511173184362</v>
      </c>
      <c r="S33" s="26">
        <f t="shared" si="0"/>
        <v>414.99511173184362</v>
      </c>
      <c r="T33" s="26">
        <f t="shared" si="0"/>
        <v>414.99511173184362</v>
      </c>
      <c r="U33" s="26">
        <f t="shared" si="0"/>
        <v>414.78972231350645</v>
      </c>
      <c r="V33" s="27">
        <f t="shared" si="0"/>
        <v>414.78972231350645</v>
      </c>
      <c r="W33" s="107">
        <f>SUM(B33:V33)</f>
        <v>9406.7140773907304</v>
      </c>
    </row>
    <row r="34" spans="1:23" ht="15.6" x14ac:dyDescent="0.3">
      <c r="A34" s="28" t="s">
        <v>52</v>
      </c>
      <c r="B34" s="25">
        <v>34.710811698981267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108"/>
    </row>
    <row r="35" spans="1:23" ht="15.6" x14ac:dyDescent="0.3">
      <c r="A35" s="31" t="s">
        <v>53</v>
      </c>
      <c r="B35" s="29">
        <v>102.69470916858364</v>
      </c>
      <c r="C35" s="29">
        <v>106.76141965165954</v>
      </c>
      <c r="D35" s="29">
        <v>111.8550772264213</v>
      </c>
      <c r="E35" s="29">
        <v>140.84677949392048</v>
      </c>
      <c r="F35" s="29">
        <v>199.05533190930001</v>
      </c>
      <c r="G35" s="29">
        <v>267.98106309562928</v>
      </c>
      <c r="H35" s="29">
        <v>273.93735622740718</v>
      </c>
      <c r="I35" s="29">
        <v>273.93735622740718</v>
      </c>
      <c r="J35" s="29">
        <v>273.93735622740718</v>
      </c>
      <c r="K35" s="29">
        <v>285.29621261912587</v>
      </c>
      <c r="L35" s="29">
        <v>285.29621261912587</v>
      </c>
      <c r="M35" s="29">
        <v>215.05303154781467</v>
      </c>
      <c r="N35" s="29">
        <v>215.05303154781467</v>
      </c>
      <c r="O35" s="29">
        <v>215.05303154781467</v>
      </c>
      <c r="P35" s="29">
        <v>215.05303154781467</v>
      </c>
      <c r="Q35" s="29">
        <v>215.05303154781467</v>
      </c>
      <c r="R35" s="29">
        <v>215.05303154781467</v>
      </c>
      <c r="S35" s="29">
        <v>215.05303154781467</v>
      </c>
      <c r="T35" s="29">
        <v>215.05303154781467</v>
      </c>
      <c r="U35" s="29">
        <v>214.84764212947749</v>
      </c>
      <c r="V35" s="32">
        <v>214.84764212947749</v>
      </c>
      <c r="W35" s="109"/>
    </row>
    <row r="36" spans="1:23" ht="16.2" thickBot="1" x14ac:dyDescent="0.35">
      <c r="A36" s="31" t="s">
        <v>54</v>
      </c>
      <c r="B36" s="33"/>
      <c r="C36" s="29">
        <v>460.86684604009201</v>
      </c>
      <c r="D36" s="29">
        <v>222.43795185672025</v>
      </c>
      <c r="E36" s="29">
        <v>315.20064492277356</v>
      </c>
      <c r="F36" s="29">
        <v>198.38411929017417</v>
      </c>
      <c r="G36" s="29">
        <v>238.75102694709167</v>
      </c>
      <c r="H36" s="29">
        <v>233.42733322379229</v>
      </c>
      <c r="I36" s="29">
        <v>233.42733322379229</v>
      </c>
      <c r="J36" s="29">
        <v>674.23749178442324</v>
      </c>
      <c r="K36" s="29">
        <v>233.39118468616496</v>
      </c>
      <c r="L36" s="29">
        <v>234.1229871837003</v>
      </c>
      <c r="M36" s="29">
        <v>199.94208018402892</v>
      </c>
      <c r="N36" s="29">
        <v>199.94208018402892</v>
      </c>
      <c r="O36" s="29">
        <v>199.94208018402892</v>
      </c>
      <c r="P36" s="29">
        <v>193.96473463687153</v>
      </c>
      <c r="Q36" s="29">
        <v>199.94208018402892</v>
      </c>
      <c r="R36" s="29">
        <v>199.94208018402892</v>
      </c>
      <c r="S36" s="29">
        <v>199.94208018402892</v>
      </c>
      <c r="T36" s="29">
        <v>199.94208018402892</v>
      </c>
      <c r="U36" s="29">
        <v>199.94208018402892</v>
      </c>
      <c r="V36" s="34">
        <v>199.94208018402892</v>
      </c>
      <c r="W36" s="109"/>
    </row>
    <row r="37" spans="1:23" ht="16.2" thickBot="1" x14ac:dyDescent="0.35">
      <c r="A37" s="35" t="s">
        <v>55</v>
      </c>
      <c r="B37" s="33"/>
      <c r="C37" s="26">
        <f>C32-C33</f>
        <v>-558.82116743345375</v>
      </c>
      <c r="D37" s="26">
        <f t="shared" ref="D37:V37" si="1">D32-D33</f>
        <v>-236.57695941505085</v>
      </c>
      <c r="E37" s="26">
        <f t="shared" si="1"/>
        <v>1281.1900777758824</v>
      </c>
      <c r="F37" s="26">
        <f t="shared" si="1"/>
        <v>2758.1395527433224</v>
      </c>
      <c r="G37" s="26">
        <f t="shared" si="1"/>
        <v>4159.7389764926411</v>
      </c>
      <c r="H37" s="26">
        <f t="shared" si="1"/>
        <v>4601.0502660437369</v>
      </c>
      <c r="I37" s="26">
        <f t="shared" si="1"/>
        <v>4737.0220100215538</v>
      </c>
      <c r="J37" s="26">
        <f t="shared" si="1"/>
        <v>4439.3722250805404</v>
      </c>
      <c r="K37" s="26">
        <f t="shared" si="1"/>
        <v>4734.3256577376233</v>
      </c>
      <c r="L37" s="26">
        <f t="shared" si="1"/>
        <v>4725.0794197871355</v>
      </c>
      <c r="M37" s="26">
        <f t="shared" si="1"/>
        <v>4318.8427872151124</v>
      </c>
      <c r="N37" s="26">
        <f t="shared" si="1"/>
        <v>4345.0833393018693</v>
      </c>
      <c r="O37" s="26">
        <f t="shared" si="1"/>
        <v>3992.1325283593828</v>
      </c>
      <c r="P37" s="26">
        <f t="shared" si="1"/>
        <v>3998.1098739065405</v>
      </c>
      <c r="Q37" s="26">
        <f t="shared" si="1"/>
        <v>3983.1446874129483</v>
      </c>
      <c r="R37" s="26">
        <f t="shared" si="1"/>
        <v>3992.1325283593828</v>
      </c>
      <c r="S37" s="26">
        <f t="shared" si="1"/>
        <v>3974.5183318427876</v>
      </c>
      <c r="T37" s="26">
        <f t="shared" si="1"/>
        <v>4000.7588839295436</v>
      </c>
      <c r="U37" s="26">
        <f t="shared" si="1"/>
        <v>3974.7237212611249</v>
      </c>
      <c r="V37" s="26">
        <f t="shared" si="1"/>
        <v>5287.7864882673675</v>
      </c>
      <c r="W37" s="109"/>
    </row>
    <row r="38" spans="1:23" ht="16.2" thickBot="1" x14ac:dyDescent="0.35">
      <c r="A38" s="36" t="s">
        <v>56</v>
      </c>
      <c r="B38" s="37"/>
      <c r="C38" s="38">
        <f t="shared" ref="C38:V38" si="2">SUM(C39:C39)</f>
        <v>4.0667104830759113</v>
      </c>
      <c r="D38" s="38">
        <f t="shared" si="2"/>
        <v>4.0667104830759113</v>
      </c>
      <c r="E38" s="39">
        <f t="shared" si="2"/>
        <v>4.0667104830759113</v>
      </c>
      <c r="F38" s="38">
        <f t="shared" si="2"/>
        <v>4.0667104830759113</v>
      </c>
      <c r="G38" s="38">
        <f t="shared" si="2"/>
        <v>4.0667104830759113</v>
      </c>
      <c r="H38" s="39">
        <f t="shared" si="2"/>
        <v>4.0667104830759113</v>
      </c>
      <c r="I38" s="39">
        <f t="shared" si="2"/>
        <v>4.0667104830759113</v>
      </c>
      <c r="J38" s="39">
        <f t="shared" si="2"/>
        <v>4.0667104830759113</v>
      </c>
      <c r="K38" s="39">
        <f t="shared" si="2"/>
        <v>4.0667104830759113</v>
      </c>
      <c r="L38" s="38">
        <f t="shared" si="2"/>
        <v>4.0667104830759113</v>
      </c>
      <c r="M38" s="39">
        <f t="shared" si="2"/>
        <v>4.0667104830759113</v>
      </c>
      <c r="N38" s="39">
        <f t="shared" si="2"/>
        <v>4.0667104830759113</v>
      </c>
      <c r="O38" s="39">
        <f t="shared" si="2"/>
        <v>4.0667104830759113</v>
      </c>
      <c r="P38" s="39">
        <f t="shared" si="2"/>
        <v>4.0667104830759113</v>
      </c>
      <c r="Q38" s="39">
        <f t="shared" si="2"/>
        <v>4.0667104830759113</v>
      </c>
      <c r="R38" s="39">
        <f t="shared" si="2"/>
        <v>4.0667104830759113</v>
      </c>
      <c r="S38" s="39">
        <f t="shared" si="2"/>
        <v>4.0667104830759113</v>
      </c>
      <c r="T38" s="39">
        <f t="shared" si="2"/>
        <v>4.0667104830759113</v>
      </c>
      <c r="U38" s="39">
        <f t="shared" si="2"/>
        <v>4.0667104830759113</v>
      </c>
      <c r="V38" s="40">
        <f t="shared" si="2"/>
        <v>4.0667104830759113</v>
      </c>
      <c r="W38" s="108"/>
    </row>
    <row r="39" spans="1:23" ht="15.6" x14ac:dyDescent="0.3">
      <c r="A39" s="41" t="s">
        <v>57</v>
      </c>
      <c r="B39" s="42"/>
      <c r="C39" s="43">
        <f>$B$47*0.03%</f>
        <v>4.0667104830759113</v>
      </c>
      <c r="D39" s="43">
        <f t="shared" ref="D39:V39" si="3">$B$47*0.03%</f>
        <v>4.0667104830759113</v>
      </c>
      <c r="E39" s="44">
        <f t="shared" si="3"/>
        <v>4.0667104830759113</v>
      </c>
      <c r="F39" s="43">
        <f t="shared" si="3"/>
        <v>4.0667104830759113</v>
      </c>
      <c r="G39" s="43">
        <f t="shared" si="3"/>
        <v>4.0667104830759113</v>
      </c>
      <c r="H39" s="44">
        <f t="shared" si="3"/>
        <v>4.0667104830759113</v>
      </c>
      <c r="I39" s="44">
        <f t="shared" si="3"/>
        <v>4.0667104830759113</v>
      </c>
      <c r="J39" s="44">
        <f t="shared" si="3"/>
        <v>4.0667104830759113</v>
      </c>
      <c r="K39" s="44">
        <f t="shared" si="3"/>
        <v>4.0667104830759113</v>
      </c>
      <c r="L39" s="43">
        <f t="shared" si="3"/>
        <v>4.0667104830759113</v>
      </c>
      <c r="M39" s="44">
        <f t="shared" si="3"/>
        <v>4.0667104830759113</v>
      </c>
      <c r="N39" s="44">
        <f t="shared" si="3"/>
        <v>4.0667104830759113</v>
      </c>
      <c r="O39" s="44">
        <f t="shared" si="3"/>
        <v>4.0667104830759113</v>
      </c>
      <c r="P39" s="44">
        <f t="shared" si="3"/>
        <v>4.0667104830759113</v>
      </c>
      <c r="Q39" s="44">
        <f t="shared" si="3"/>
        <v>4.0667104830759113</v>
      </c>
      <c r="R39" s="44">
        <f t="shared" si="3"/>
        <v>4.0667104830759113</v>
      </c>
      <c r="S39" s="44">
        <f t="shared" si="3"/>
        <v>4.0667104830759113</v>
      </c>
      <c r="T39" s="44">
        <f t="shared" si="3"/>
        <v>4.0667104830759113</v>
      </c>
      <c r="U39" s="44">
        <f t="shared" si="3"/>
        <v>4.0667104830759113</v>
      </c>
      <c r="V39" s="44">
        <f t="shared" si="3"/>
        <v>4.0667104830759113</v>
      </c>
      <c r="W39" s="108">
        <f>SUM(B39:V39)</f>
        <v>81.334209661518202</v>
      </c>
    </row>
    <row r="40" spans="1:23" ht="16.2" thickBot="1" x14ac:dyDescent="0.35">
      <c r="A40" s="31" t="s">
        <v>58</v>
      </c>
      <c r="B40" s="45"/>
      <c r="C40" s="46">
        <v>27.344150509365758</v>
      </c>
      <c r="D40" s="46">
        <v>27.344150509365758</v>
      </c>
      <c r="E40" s="46">
        <v>27.344150509365758</v>
      </c>
      <c r="F40" s="46">
        <v>27.344150509365758</v>
      </c>
      <c r="G40" s="46">
        <v>27.344150509365758</v>
      </c>
      <c r="H40" s="46">
        <v>27.344150509365758</v>
      </c>
      <c r="I40" s="46">
        <v>27.344150509365758</v>
      </c>
      <c r="J40" s="46">
        <v>27.344150509365758</v>
      </c>
      <c r="K40" s="46">
        <v>27.344150509365758</v>
      </c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108">
        <f>SUM(W33:W39)</f>
        <v>9488.0482870522483</v>
      </c>
    </row>
    <row r="41" spans="1:23" ht="16.2" thickBot="1" x14ac:dyDescent="0.35">
      <c r="A41" s="47" t="s">
        <v>59</v>
      </c>
      <c r="B41" s="48"/>
      <c r="C41" s="49">
        <f>C37-C38-C40</f>
        <v>-590.23202842589535</v>
      </c>
      <c r="D41" s="49">
        <f t="shared" ref="D41:V41" si="4">D37-D38-D40</f>
        <v>-267.98782040749251</v>
      </c>
      <c r="E41" s="49">
        <f t="shared" si="4"/>
        <v>1249.7792167834407</v>
      </c>
      <c r="F41" s="49">
        <f t="shared" si="4"/>
        <v>2726.7286917508809</v>
      </c>
      <c r="G41" s="49">
        <f t="shared" si="4"/>
        <v>4128.3281155001987</v>
      </c>
      <c r="H41" s="49">
        <f t="shared" si="4"/>
        <v>4569.6394050512945</v>
      </c>
      <c r="I41" s="49">
        <f t="shared" si="4"/>
        <v>4705.6111490291114</v>
      </c>
      <c r="J41" s="49">
        <f t="shared" si="4"/>
        <v>4407.961364088098</v>
      </c>
      <c r="K41" s="49">
        <f t="shared" si="4"/>
        <v>4702.9147967451809</v>
      </c>
      <c r="L41" s="49">
        <f t="shared" si="4"/>
        <v>4721.0127093040592</v>
      </c>
      <c r="M41" s="49">
        <f t="shared" si="4"/>
        <v>4314.776076732036</v>
      </c>
      <c r="N41" s="49">
        <f t="shared" si="4"/>
        <v>4341.0166288187929</v>
      </c>
      <c r="O41" s="49">
        <f t="shared" si="4"/>
        <v>3988.0658178763069</v>
      </c>
      <c r="P41" s="49">
        <f t="shared" si="4"/>
        <v>3994.0431634234646</v>
      </c>
      <c r="Q41" s="49">
        <f t="shared" si="4"/>
        <v>3979.0779769298724</v>
      </c>
      <c r="R41" s="49">
        <f t="shared" si="4"/>
        <v>3988.0658178763069</v>
      </c>
      <c r="S41" s="49">
        <f t="shared" si="4"/>
        <v>3970.4516213597117</v>
      </c>
      <c r="T41" s="49">
        <f t="shared" si="4"/>
        <v>3996.6921734464677</v>
      </c>
      <c r="U41" s="49">
        <f t="shared" si="4"/>
        <v>3970.657010778049</v>
      </c>
      <c r="V41" s="50">
        <f t="shared" si="4"/>
        <v>5283.7197777842912</v>
      </c>
      <c r="W41" s="107">
        <f>W40/20</f>
        <v>474.40241435261242</v>
      </c>
    </row>
    <row r="42" spans="1:23" ht="16.2" thickBot="1" x14ac:dyDescent="0.35">
      <c r="A42" s="51" t="s">
        <v>60</v>
      </c>
      <c r="B42" s="52"/>
      <c r="C42" s="53"/>
      <c r="D42" s="53"/>
      <c r="E42" s="53"/>
      <c r="F42" s="53"/>
      <c r="G42" s="53"/>
      <c r="H42" s="53">
        <f t="shared" ref="H42:L42" si="5">((H32*20%)*7.5%)</f>
        <v>76.626224332424044</v>
      </c>
      <c r="I42" s="53">
        <f t="shared" si="5"/>
        <v>78.665800492091293</v>
      </c>
      <c r="J42" s="53">
        <f t="shared" si="5"/>
        <v>80.813206096385571</v>
      </c>
      <c r="K42" s="53">
        <f t="shared" si="5"/>
        <v>78.795195825643717</v>
      </c>
      <c r="L42" s="53">
        <f t="shared" si="5"/>
        <v>78.667479293849425</v>
      </c>
      <c r="M42" s="52"/>
      <c r="N42" s="52"/>
      <c r="O42" s="52"/>
      <c r="P42" s="52"/>
      <c r="Q42" s="52"/>
      <c r="R42" s="52"/>
      <c r="S42" s="52"/>
      <c r="T42" s="52"/>
      <c r="U42" s="52"/>
      <c r="V42" s="53">
        <f>((V32*20%)*7.5%)</f>
        <v>85.538643158713114</v>
      </c>
      <c r="W42" s="110"/>
    </row>
    <row r="43" spans="1:23" ht="15.6" x14ac:dyDescent="0.3">
      <c r="A43" s="55" t="s">
        <v>61</v>
      </c>
      <c r="B43" s="46"/>
      <c r="C43" s="56">
        <f t="shared" ref="C43:V43" si="6">C41-C42</f>
        <v>-590.23202842589535</v>
      </c>
      <c r="D43" s="56">
        <f t="shared" si="6"/>
        <v>-267.98782040749251</v>
      </c>
      <c r="E43" s="56">
        <f t="shared" si="6"/>
        <v>1249.7792167834407</v>
      </c>
      <c r="F43" s="56">
        <f t="shared" si="6"/>
        <v>2726.7286917508809</v>
      </c>
      <c r="G43" s="56">
        <f t="shared" si="6"/>
        <v>4128.3281155001987</v>
      </c>
      <c r="H43" s="56">
        <f t="shared" si="6"/>
        <v>4493.01318071887</v>
      </c>
      <c r="I43" s="56">
        <f t="shared" si="6"/>
        <v>4626.9453485370204</v>
      </c>
      <c r="J43" s="56">
        <f t="shared" si="6"/>
        <v>4327.1481579917127</v>
      </c>
      <c r="K43" s="56">
        <f t="shared" si="6"/>
        <v>4624.1196009195373</v>
      </c>
      <c r="L43" s="56">
        <f t="shared" si="6"/>
        <v>4642.3452300102099</v>
      </c>
      <c r="M43" s="56">
        <f t="shared" si="6"/>
        <v>4314.776076732036</v>
      </c>
      <c r="N43" s="56">
        <f t="shared" si="6"/>
        <v>4341.0166288187929</v>
      </c>
      <c r="O43" s="56">
        <f t="shared" si="6"/>
        <v>3988.0658178763069</v>
      </c>
      <c r="P43" s="56">
        <f t="shared" si="6"/>
        <v>3994.0431634234646</v>
      </c>
      <c r="Q43" s="56">
        <f t="shared" si="6"/>
        <v>3979.0779769298724</v>
      </c>
      <c r="R43" s="56">
        <f t="shared" si="6"/>
        <v>3988.0658178763069</v>
      </c>
      <c r="S43" s="56">
        <f t="shared" si="6"/>
        <v>3970.4516213597117</v>
      </c>
      <c r="T43" s="56">
        <f t="shared" si="6"/>
        <v>3996.6921734464677</v>
      </c>
      <c r="U43" s="56">
        <f t="shared" si="6"/>
        <v>3970.657010778049</v>
      </c>
      <c r="V43" s="57">
        <f t="shared" si="6"/>
        <v>5198.1811346255781</v>
      </c>
      <c r="W43" s="58"/>
    </row>
    <row r="44" spans="1:23" ht="16.2" thickBot="1" x14ac:dyDescent="0.35">
      <c r="A44" s="59" t="s">
        <v>62</v>
      </c>
      <c r="B44" s="46"/>
      <c r="C44" s="46">
        <v>27.344150509365758</v>
      </c>
      <c r="D44" s="46">
        <v>27.344150509365758</v>
      </c>
      <c r="E44" s="46">
        <v>27.344150509365758</v>
      </c>
      <c r="F44" s="46">
        <v>27.344150509365758</v>
      </c>
      <c r="G44" s="46">
        <v>27.344150509365758</v>
      </c>
      <c r="H44" s="46">
        <v>27.344150509365758</v>
      </c>
      <c r="I44" s="46">
        <v>27.344150509365758</v>
      </c>
      <c r="J44" s="46">
        <v>27.344150509365758</v>
      </c>
      <c r="K44" s="46">
        <v>27.344150509365758</v>
      </c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60"/>
      <c r="W44" s="54"/>
    </row>
    <row r="45" spans="1:23" ht="16.2" thickBot="1" x14ac:dyDescent="0.35">
      <c r="A45" s="61" t="s">
        <v>63</v>
      </c>
      <c r="B45" s="49">
        <f>B34+B35</f>
        <v>137.40552086756492</v>
      </c>
      <c r="C45" s="62">
        <f t="shared" ref="C45:V45" si="7">C43+C44</f>
        <v>-562.88787791652965</v>
      </c>
      <c r="D45" s="62">
        <f t="shared" si="7"/>
        <v>-240.64366989812675</v>
      </c>
      <c r="E45" s="49">
        <f t="shared" si="7"/>
        <v>1277.1233672928065</v>
      </c>
      <c r="F45" s="49">
        <f t="shared" si="7"/>
        <v>2754.0728422602465</v>
      </c>
      <c r="G45" s="49">
        <f t="shared" si="7"/>
        <v>4155.6722660095647</v>
      </c>
      <c r="H45" s="49">
        <f t="shared" si="7"/>
        <v>4520.357331228236</v>
      </c>
      <c r="I45" s="49">
        <f t="shared" si="7"/>
        <v>4654.2894990463865</v>
      </c>
      <c r="J45" s="49">
        <f t="shared" si="7"/>
        <v>4354.4923085010787</v>
      </c>
      <c r="K45" s="49">
        <f t="shared" si="7"/>
        <v>4651.4637514289034</v>
      </c>
      <c r="L45" s="49">
        <f t="shared" si="7"/>
        <v>4642.3452300102099</v>
      </c>
      <c r="M45" s="49">
        <f t="shared" si="7"/>
        <v>4314.776076732036</v>
      </c>
      <c r="N45" s="49">
        <f t="shared" si="7"/>
        <v>4341.0166288187929</v>
      </c>
      <c r="O45" s="49">
        <f t="shared" si="7"/>
        <v>3988.0658178763069</v>
      </c>
      <c r="P45" s="49">
        <f t="shared" si="7"/>
        <v>3994.0431634234646</v>
      </c>
      <c r="Q45" s="49">
        <f t="shared" si="7"/>
        <v>3979.0779769298724</v>
      </c>
      <c r="R45" s="49">
        <f t="shared" si="7"/>
        <v>3988.0658178763069</v>
      </c>
      <c r="S45" s="49">
        <f t="shared" si="7"/>
        <v>3970.4516213597117</v>
      </c>
      <c r="T45" s="49">
        <f t="shared" si="7"/>
        <v>3996.6921734464677</v>
      </c>
      <c r="U45" s="49">
        <f t="shared" si="7"/>
        <v>3970.657010778049</v>
      </c>
      <c r="V45" s="50">
        <f t="shared" si="7"/>
        <v>5198.1811346255781</v>
      </c>
      <c r="W45" s="54"/>
    </row>
    <row r="46" spans="1:23" ht="16.2" thickBot="1" x14ac:dyDescent="0.35">
      <c r="A46" s="47" t="s">
        <v>64</v>
      </c>
      <c r="B46" s="63">
        <f>B47+B48</f>
        <v>13852.921610253039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4"/>
      <c r="W46" s="54"/>
    </row>
    <row r="47" spans="1:23" ht="15.6" x14ac:dyDescent="0.3">
      <c r="A47" s="65" t="s">
        <v>65</v>
      </c>
      <c r="B47" s="46">
        <v>13555.70161025304</v>
      </c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23"/>
    </row>
    <row r="48" spans="1:23" ht="16.2" thickBot="1" x14ac:dyDescent="0.35">
      <c r="A48" s="31" t="s">
        <v>66</v>
      </c>
      <c r="B48" s="66">
        <v>297.22000000000003</v>
      </c>
      <c r="C48" s="66"/>
      <c r="D48" s="46"/>
      <c r="E48" s="48"/>
      <c r="F48" s="46"/>
      <c r="G48" s="46"/>
      <c r="H48" s="66"/>
      <c r="I48" s="66"/>
      <c r="J48" s="66"/>
      <c r="K48" s="66"/>
      <c r="L48" s="67"/>
      <c r="M48" s="66"/>
      <c r="N48" s="67"/>
      <c r="O48" s="67"/>
      <c r="P48" s="67"/>
      <c r="Q48" s="67"/>
      <c r="R48" s="66"/>
      <c r="S48" s="67"/>
      <c r="T48" s="67"/>
      <c r="U48" s="67"/>
      <c r="V48" s="67"/>
      <c r="W48" s="30"/>
    </row>
    <row r="49" spans="1:23" s="11" customFormat="1" ht="16.2" thickBot="1" x14ac:dyDescent="0.35">
      <c r="A49" s="35" t="s">
        <v>67</v>
      </c>
      <c r="B49" s="49">
        <v>542.86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68"/>
      <c r="O49" s="68"/>
      <c r="P49" s="68"/>
      <c r="Q49" s="68"/>
      <c r="R49" s="68"/>
      <c r="S49" s="68"/>
      <c r="T49" s="68"/>
      <c r="U49" s="68"/>
      <c r="V49" s="68">
        <f>W41</f>
        <v>474.40241435261242</v>
      </c>
      <c r="W49" s="23"/>
    </row>
    <row r="50" spans="1:23" s="11" customFormat="1" ht="16.2" thickBot="1" x14ac:dyDescent="0.35">
      <c r="A50" s="47" t="s">
        <v>68</v>
      </c>
      <c r="B50" s="69">
        <f>-B45-B46-B49</f>
        <v>-14533.187131120605</v>
      </c>
      <c r="C50" s="70">
        <f>C45-C46</f>
        <v>-562.88787791652965</v>
      </c>
      <c r="D50" s="70">
        <f>(D45-D46)</f>
        <v>-240.64366989812675</v>
      </c>
      <c r="E50" s="52">
        <f t="shared" ref="E50:U50" si="8">(E45-E46)</f>
        <v>1277.1233672928065</v>
      </c>
      <c r="F50" s="52">
        <f t="shared" si="8"/>
        <v>2754.0728422602465</v>
      </c>
      <c r="G50" s="52">
        <f t="shared" si="8"/>
        <v>4155.6722660095647</v>
      </c>
      <c r="H50" s="52">
        <f t="shared" si="8"/>
        <v>4520.357331228236</v>
      </c>
      <c r="I50" s="52">
        <f t="shared" si="8"/>
        <v>4654.2894990463865</v>
      </c>
      <c r="J50" s="52">
        <f>(J45+J46)</f>
        <v>4354.4923085010787</v>
      </c>
      <c r="K50" s="52">
        <f t="shared" si="8"/>
        <v>4651.4637514289034</v>
      </c>
      <c r="L50" s="52">
        <f t="shared" si="8"/>
        <v>4642.3452300102099</v>
      </c>
      <c r="M50" s="52">
        <f t="shared" si="8"/>
        <v>4314.776076732036</v>
      </c>
      <c r="N50" s="52">
        <f t="shared" si="8"/>
        <v>4341.0166288187929</v>
      </c>
      <c r="O50" s="52">
        <f t="shared" si="8"/>
        <v>3988.0658178763069</v>
      </c>
      <c r="P50" s="52">
        <f t="shared" si="8"/>
        <v>3994.0431634234646</v>
      </c>
      <c r="Q50" s="52">
        <f t="shared" si="8"/>
        <v>3979.0779769298724</v>
      </c>
      <c r="R50" s="52">
        <f>(R45+R46)</f>
        <v>3988.0658178763069</v>
      </c>
      <c r="S50" s="52">
        <f t="shared" si="8"/>
        <v>3970.4516213597117</v>
      </c>
      <c r="T50" s="52">
        <f t="shared" si="8"/>
        <v>3996.6921734464677</v>
      </c>
      <c r="U50" s="52">
        <f t="shared" si="8"/>
        <v>3970.657010778049</v>
      </c>
      <c r="V50" s="52">
        <f>V45+V46+V49</f>
        <v>5672.5835489781903</v>
      </c>
      <c r="W50" s="23"/>
    </row>
    <row r="51" spans="1:23" s="11" customFormat="1" ht="16.2" thickBot="1" x14ac:dyDescent="0.35">
      <c r="A51" s="71" t="s">
        <v>69</v>
      </c>
      <c r="B51" s="70"/>
      <c r="C51" s="112">
        <v>39.099408478475183</v>
      </c>
      <c r="D51" s="112">
        <v>39.099408478475183</v>
      </c>
      <c r="E51" s="112">
        <v>39.099408478475183</v>
      </c>
      <c r="F51" s="112">
        <v>39.099408478475183</v>
      </c>
      <c r="G51" s="112">
        <v>39.099408478475183</v>
      </c>
      <c r="H51" s="112">
        <v>39.099408478475183</v>
      </c>
      <c r="I51" s="112">
        <v>39.099408478475183</v>
      </c>
      <c r="J51" s="112">
        <v>39.099408478475183</v>
      </c>
      <c r="K51" s="112">
        <v>39.099408478475183</v>
      </c>
      <c r="L51" s="112">
        <v>39.099408478475183</v>
      </c>
      <c r="M51" s="112">
        <v>39.099408478475183</v>
      </c>
      <c r="N51" s="112">
        <v>39.099408478475183</v>
      </c>
      <c r="O51" s="112">
        <v>161.28505997371013</v>
      </c>
      <c r="P51" s="112">
        <v>156.39763391390073</v>
      </c>
      <c r="Q51" s="112">
        <v>151.51020785409133</v>
      </c>
      <c r="R51" s="112">
        <v>146.62278179428193</v>
      </c>
      <c r="S51" s="112">
        <v>141.73535573447253</v>
      </c>
      <c r="T51" s="112">
        <v>136.84792967466313</v>
      </c>
      <c r="U51" s="112">
        <v>131.96050361485374</v>
      </c>
      <c r="V51" s="113">
        <v>127.07307755504435</v>
      </c>
      <c r="W51" s="23"/>
    </row>
    <row r="52" spans="1:23" s="11" customFormat="1" ht="16.2" thickBot="1" x14ac:dyDescent="0.35">
      <c r="A52" s="72" t="s">
        <v>70</v>
      </c>
      <c r="B52" s="73">
        <f>B50</f>
        <v>-14533.187131120605</v>
      </c>
      <c r="C52" s="74">
        <f>C50-C51</f>
        <v>-601.98728639500484</v>
      </c>
      <c r="D52" s="74">
        <f>D50-D51</f>
        <v>-279.74307837660194</v>
      </c>
      <c r="E52" s="75">
        <f t="shared" ref="E52:U52" si="9">E50-E51</f>
        <v>1238.0239588143313</v>
      </c>
      <c r="F52" s="75">
        <f t="shared" si="9"/>
        <v>2714.9734337817713</v>
      </c>
      <c r="G52" s="75">
        <f t="shared" si="9"/>
        <v>4116.5728575310895</v>
      </c>
      <c r="H52" s="75">
        <f t="shared" si="9"/>
        <v>4481.2579227497608</v>
      </c>
      <c r="I52" s="75">
        <f t="shared" si="9"/>
        <v>4615.1900905679113</v>
      </c>
      <c r="J52" s="75">
        <f t="shared" si="9"/>
        <v>4315.3929000226035</v>
      </c>
      <c r="K52" s="75">
        <f t="shared" si="9"/>
        <v>4612.3643429504282</v>
      </c>
      <c r="L52" s="75">
        <f t="shared" si="9"/>
        <v>4603.2458215317347</v>
      </c>
      <c r="M52" s="75">
        <f t="shared" si="9"/>
        <v>4275.6766682535608</v>
      </c>
      <c r="N52" s="75">
        <f t="shared" si="9"/>
        <v>4301.9172203403177</v>
      </c>
      <c r="O52" s="75">
        <f t="shared" si="9"/>
        <v>3826.7807579025966</v>
      </c>
      <c r="P52" s="75">
        <f t="shared" si="9"/>
        <v>3837.6455295095639</v>
      </c>
      <c r="Q52" s="75">
        <f t="shared" si="9"/>
        <v>3827.5677690757811</v>
      </c>
      <c r="R52" s="75">
        <f t="shared" si="9"/>
        <v>3841.4430360820252</v>
      </c>
      <c r="S52" s="75">
        <f t="shared" si="9"/>
        <v>3828.716265625239</v>
      </c>
      <c r="T52" s="75">
        <f t="shared" si="9"/>
        <v>3859.8442437718045</v>
      </c>
      <c r="U52" s="75">
        <f t="shared" si="9"/>
        <v>3838.6965071631953</v>
      </c>
      <c r="V52" s="111">
        <f>V50-V51</f>
        <v>5545.5104714231456</v>
      </c>
      <c r="W52" s="76">
        <f>SUM(B52:U52)</f>
        <v>50720.391829781503</v>
      </c>
    </row>
    <row r="53" spans="1:23" s="81" customFormat="1" x14ac:dyDescent="0.3">
      <c r="A53" s="77"/>
      <c r="B53" s="78"/>
      <c r="C53" s="78"/>
      <c r="D53" s="78"/>
      <c r="E53" s="78"/>
      <c r="F53" s="78"/>
      <c r="G53" s="79"/>
      <c r="H53" s="79"/>
      <c r="I53" s="79"/>
      <c r="J53" s="79"/>
      <c r="K53" s="79"/>
      <c r="L53" s="79"/>
      <c r="M53" s="79"/>
      <c r="N53" s="80"/>
      <c r="O53" s="80"/>
      <c r="P53" s="80"/>
      <c r="Q53" s="80"/>
      <c r="R53" s="80"/>
      <c r="S53" s="80"/>
      <c r="T53" s="80"/>
      <c r="U53" s="80"/>
      <c r="V53" s="80"/>
      <c r="W53" s="80"/>
    </row>
    <row r="54" spans="1:23" s="11" customFormat="1" thickBot="1" x14ac:dyDescent="0.3">
      <c r="A54" s="82"/>
      <c r="B54" s="83"/>
      <c r="C54" s="84"/>
      <c r="D54" s="79"/>
      <c r="E54" s="85"/>
      <c r="F54" s="79"/>
      <c r="G54" s="79"/>
      <c r="H54" s="79"/>
      <c r="I54" s="79"/>
      <c r="J54" s="79"/>
      <c r="K54" s="79"/>
      <c r="L54" s="79"/>
      <c r="M54" s="79"/>
      <c r="N54" s="86"/>
      <c r="O54" s="86"/>
      <c r="P54" s="86"/>
      <c r="Q54" s="86"/>
      <c r="R54" s="86"/>
      <c r="S54" s="86"/>
      <c r="T54" s="86"/>
      <c r="U54" s="86"/>
      <c r="V54" s="86"/>
      <c r="W54" s="86"/>
    </row>
    <row r="55" spans="1:23" s="11" customFormat="1" thickBot="1" x14ac:dyDescent="0.3">
      <c r="A55" s="87" t="s">
        <v>71</v>
      </c>
      <c r="B55" s="88">
        <f>IRR(B52:V52)</f>
        <v>0.16430856466602606</v>
      </c>
      <c r="C55" s="89" t="s">
        <v>72</v>
      </c>
      <c r="F55" s="90"/>
      <c r="G55" s="90"/>
      <c r="H55" s="90"/>
      <c r="I55" s="79"/>
      <c r="J55" s="79"/>
      <c r="K55" s="79"/>
      <c r="L55" s="79"/>
      <c r="M55" s="79"/>
      <c r="N55" s="86"/>
      <c r="O55" s="86"/>
      <c r="P55" s="86"/>
      <c r="Q55" s="86"/>
      <c r="R55" s="86"/>
      <c r="S55" s="86"/>
      <c r="T55" s="86"/>
      <c r="U55" s="86"/>
      <c r="V55" s="86"/>
      <c r="W55" s="86"/>
    </row>
    <row r="56" spans="1:23" s="11" customFormat="1" thickBot="1" x14ac:dyDescent="0.3">
      <c r="A56" s="91" t="s">
        <v>73</v>
      </c>
      <c r="B56" s="92">
        <v>0.10639999999999999</v>
      </c>
      <c r="C56" s="91" t="s">
        <v>72</v>
      </c>
      <c r="F56" s="90"/>
      <c r="G56" s="90"/>
      <c r="H56" s="90"/>
      <c r="I56" s="79"/>
      <c r="J56" s="79"/>
      <c r="K56" s="79"/>
      <c r="L56" s="79"/>
      <c r="M56" s="93"/>
      <c r="N56" s="86"/>
      <c r="O56" s="86"/>
      <c r="P56" s="86"/>
      <c r="Q56" s="86"/>
      <c r="R56" s="86"/>
      <c r="S56" s="86"/>
      <c r="T56" s="86"/>
      <c r="U56" s="86"/>
      <c r="V56" s="86"/>
      <c r="W56" s="86"/>
    </row>
    <row r="57" spans="1:23" s="11" customFormat="1" thickBot="1" x14ac:dyDescent="0.3">
      <c r="A57" s="90" t="s">
        <v>74</v>
      </c>
      <c r="B57" s="94">
        <f>NPV(B56,C52:V52)</f>
        <v>23460.474517750674</v>
      </c>
      <c r="C57" s="90"/>
      <c r="F57" s="90"/>
      <c r="G57" s="90"/>
      <c r="H57" s="90"/>
      <c r="I57" s="79"/>
      <c r="J57" s="79"/>
      <c r="K57" s="79"/>
      <c r="L57" s="95"/>
      <c r="M57" s="79"/>
      <c r="N57" s="86"/>
      <c r="O57" s="86"/>
      <c r="P57" s="86"/>
      <c r="Q57" s="86"/>
      <c r="R57" s="86"/>
      <c r="S57" s="86"/>
      <c r="T57" s="86"/>
      <c r="U57" s="86"/>
      <c r="V57" s="86"/>
      <c r="W57" s="86"/>
    </row>
    <row r="58" spans="1:23" s="11" customFormat="1" ht="15" thickBot="1" x14ac:dyDescent="0.35">
      <c r="A58" s="96" t="s">
        <v>75</v>
      </c>
      <c r="B58" s="97">
        <f>NPV(B56,C52:V52)+B52</f>
        <v>8927.2873866300688</v>
      </c>
      <c r="C58" s="98"/>
      <c r="F58" s="90"/>
      <c r="G58"/>
      <c r="H58"/>
      <c r="I58" s="79"/>
      <c r="J58" s="79"/>
      <c r="K58" s="79"/>
      <c r="L58" s="79"/>
      <c r="M58" s="79"/>
      <c r="N58" s="86"/>
      <c r="O58" s="86"/>
      <c r="P58" s="86"/>
      <c r="Q58" s="86"/>
      <c r="R58" s="86"/>
      <c r="S58" s="86"/>
      <c r="T58" s="86"/>
      <c r="U58" s="86"/>
      <c r="V58" s="86"/>
      <c r="W58" s="86"/>
    </row>
    <row r="59" spans="1:23" s="11" customFormat="1" ht="15" customHeight="1" thickBot="1" x14ac:dyDescent="0.35">
      <c r="A59" s="96" t="s">
        <v>76</v>
      </c>
      <c r="B59" s="99">
        <f>B57/-B52</f>
        <v>1.6142690729904416</v>
      </c>
      <c r="C59" s="114" t="s">
        <v>77</v>
      </c>
      <c r="D59" s="114"/>
      <c r="E59" s="114"/>
      <c r="F59" s="114"/>
      <c r="G59"/>
      <c r="H59"/>
      <c r="I59" s="79"/>
      <c r="J59" s="79"/>
      <c r="K59" s="79"/>
      <c r="L59" s="79"/>
      <c r="M59" s="79"/>
      <c r="N59" s="86"/>
      <c r="O59" s="86"/>
      <c r="P59" s="86"/>
      <c r="Q59" s="86"/>
      <c r="R59" s="86"/>
      <c r="S59" s="86"/>
      <c r="T59" s="86"/>
      <c r="U59" s="86"/>
      <c r="V59" s="86"/>
      <c r="W59" s="86"/>
    </row>
    <row r="60" spans="1:23" s="11" customFormat="1" ht="15" thickBot="1" x14ac:dyDescent="0.35">
      <c r="A60" s="96" t="s">
        <v>78</v>
      </c>
      <c r="B60" s="100">
        <f>(-B52/B57)*20</f>
        <v>12.389508251527053</v>
      </c>
      <c r="C60" s="96" t="s">
        <v>79</v>
      </c>
      <c r="F60" s="79"/>
      <c r="G60"/>
      <c r="H60"/>
      <c r="I60" s="79"/>
      <c r="J60" s="79"/>
      <c r="K60" s="79"/>
      <c r="L60" s="79"/>
      <c r="M60" s="79"/>
      <c r="N60" s="86"/>
      <c r="O60" s="86"/>
      <c r="P60" s="86"/>
      <c r="Q60" s="86"/>
      <c r="R60" s="86"/>
      <c r="S60" s="86"/>
      <c r="T60" s="86"/>
      <c r="U60" s="86"/>
      <c r="V60" s="86"/>
      <c r="W60" s="86"/>
    </row>
    <row r="61" spans="1:23" s="11" customFormat="1" ht="15" thickBot="1" x14ac:dyDescent="0.35">
      <c r="A61" s="91" t="s">
        <v>80</v>
      </c>
      <c r="B61" s="101">
        <f>NPV(B56,C32:V32)</f>
        <v>28046.221996183558</v>
      </c>
      <c r="C61" s="102"/>
      <c r="F61" s="79"/>
      <c r="G61"/>
      <c r="H61"/>
      <c r="I61" s="79"/>
      <c r="J61" s="79"/>
      <c r="K61" s="79"/>
      <c r="L61" s="79"/>
      <c r="M61" s="79"/>
      <c r="N61" s="86"/>
      <c r="O61" s="86"/>
      <c r="P61" s="86"/>
      <c r="Q61" s="86"/>
      <c r="R61" s="86"/>
      <c r="S61" s="86"/>
      <c r="T61" s="86"/>
      <c r="U61" s="86"/>
      <c r="V61" s="86"/>
      <c r="W61" s="86"/>
    </row>
    <row r="62" spans="1:23" s="11" customFormat="1" ht="15" thickBot="1" x14ac:dyDescent="0.35">
      <c r="A62" s="90" t="s">
        <v>81</v>
      </c>
      <c r="B62" s="101">
        <f>NPV(B56,C33:V33)</f>
        <v>3941.5824583366652</v>
      </c>
      <c r="C62" s="103"/>
      <c r="F62" s="79"/>
      <c r="G62"/>
      <c r="H62"/>
      <c r="I62" s="79"/>
      <c r="J62" s="79"/>
      <c r="K62" s="79"/>
      <c r="L62" s="79"/>
      <c r="M62" s="79"/>
      <c r="N62" s="86"/>
      <c r="O62" s="86"/>
      <c r="P62" s="86"/>
      <c r="Q62" s="86"/>
      <c r="R62" s="86"/>
      <c r="S62" s="86"/>
      <c r="T62" s="86"/>
      <c r="U62" s="86"/>
      <c r="V62" s="86"/>
      <c r="W62" s="86"/>
    </row>
    <row r="63" spans="1:23" s="11" customFormat="1" ht="15" thickBot="1" x14ac:dyDescent="0.35">
      <c r="A63" s="98" t="s">
        <v>82</v>
      </c>
      <c r="B63" s="101">
        <f>NPV(B56,C38:V38)</f>
        <v>33.162037670233666</v>
      </c>
      <c r="C63" s="79"/>
      <c r="F63" s="79"/>
      <c r="G63"/>
      <c r="H63"/>
      <c r="I63" s="79"/>
      <c r="J63" s="79"/>
      <c r="K63" s="79"/>
      <c r="L63" s="79"/>
      <c r="M63" s="79"/>
      <c r="N63" s="86"/>
      <c r="O63" s="86"/>
      <c r="P63" s="86"/>
      <c r="Q63" s="86"/>
      <c r="R63" s="86"/>
      <c r="S63" s="86"/>
      <c r="T63" s="86"/>
      <c r="U63" s="86"/>
      <c r="V63" s="86"/>
      <c r="W63" s="86"/>
    </row>
    <row r="64" spans="1:23" s="11" customFormat="1" ht="15" thickBot="1" x14ac:dyDescent="0.35">
      <c r="A64" s="98" t="s">
        <v>83</v>
      </c>
      <c r="B64" s="101">
        <f>B62+B63</f>
        <v>3974.7444960068988</v>
      </c>
      <c r="C64" s="102"/>
      <c r="F64" s="79"/>
      <c r="G64"/>
      <c r="H64"/>
      <c r="I64" s="79"/>
      <c r="J64" s="79"/>
      <c r="K64" s="79"/>
      <c r="L64" s="79"/>
      <c r="M64" s="79"/>
      <c r="N64" s="86"/>
      <c r="O64" s="86"/>
      <c r="P64" s="86"/>
      <c r="Q64" s="86"/>
      <c r="R64" s="86"/>
      <c r="S64" s="86"/>
      <c r="T64" s="86"/>
      <c r="U64" s="86"/>
      <c r="V64" s="86"/>
      <c r="W64" s="86"/>
    </row>
    <row r="65" spans="1:6" s="11" customFormat="1" ht="15" customHeight="1" thickBot="1" x14ac:dyDescent="0.3">
      <c r="A65" s="96" t="s">
        <v>84</v>
      </c>
      <c r="B65" s="104">
        <f>B61/B64</f>
        <v>7.0561068829353202</v>
      </c>
      <c r="C65" s="115" t="s">
        <v>85</v>
      </c>
      <c r="D65" s="115"/>
      <c r="E65" s="115"/>
      <c r="F65" s="115"/>
    </row>
    <row r="66" spans="1:6" s="11" customFormat="1" thickBot="1" x14ac:dyDescent="0.3">
      <c r="A66" s="89" t="s">
        <v>86</v>
      </c>
      <c r="B66" s="105">
        <f>PMT(B56,20,-B58,0,0)</f>
        <v>1094.7666594452676</v>
      </c>
      <c r="C66" s="87"/>
      <c r="E66" s="90"/>
      <c r="F66" s="90"/>
    </row>
    <row r="67" spans="1:6" s="11" customFormat="1" thickBot="1" x14ac:dyDescent="0.3">
      <c r="A67" s="89" t="s">
        <v>87</v>
      </c>
      <c r="B67" s="106">
        <f>MIRR(B52:V52,2.5%,B56)</f>
        <v>0.13181451601192906</v>
      </c>
      <c r="C67" s="89"/>
      <c r="E67" s="90"/>
      <c r="F67" s="90"/>
    </row>
  </sheetData>
  <sheetProtection algorithmName="SHA-512" hashValue="iKW0eARK1M/P0YyusUE3Xix5Zop2GAkUZeXK5lZGpKcc7cet4eo8IrEsujEDDrn6OPM8nEiaztDfpb935hSRWQ==" saltValue="+qjwaN/g7RPQcd92ujPF3A==" spinCount="100000" sheet="1" formatCells="0" formatColumns="0" formatRows="0" insertColumns="0" insertRows="0" insertHyperlinks="0" deleteColumns="0" deleteRows="0" sort="0" autoFilter="0" pivotTables="0"/>
  <mergeCells count="38">
    <mergeCell ref="A7:B7"/>
    <mergeCell ref="A8:B8"/>
    <mergeCell ref="A15:BJ15"/>
    <mergeCell ref="A1:E1"/>
    <mergeCell ref="A2:B2"/>
    <mergeCell ref="A3:B3"/>
    <mergeCell ref="A4:B4"/>
    <mergeCell ref="A5:B5"/>
    <mergeCell ref="A6:B6"/>
    <mergeCell ref="A20:B20"/>
    <mergeCell ref="AJ16:AL16"/>
    <mergeCell ref="AM16:AO16"/>
    <mergeCell ref="AP16:AR16"/>
    <mergeCell ref="AS16:AU16"/>
    <mergeCell ref="R16:T16"/>
    <mergeCell ref="U16:W16"/>
    <mergeCell ref="X16:Z16"/>
    <mergeCell ref="AA16:AC16"/>
    <mergeCell ref="AD16:AF16"/>
    <mergeCell ref="AG16:AI16"/>
    <mergeCell ref="A16:B17"/>
    <mergeCell ref="C16:E16"/>
    <mergeCell ref="F16:H16"/>
    <mergeCell ref="I16:K16"/>
    <mergeCell ref="L16:N16"/>
    <mergeCell ref="BB16:BD16"/>
    <mergeCell ref="BE16:BG16"/>
    <mergeCell ref="BH16:BJ16"/>
    <mergeCell ref="A18:B18"/>
    <mergeCell ref="A19:B19"/>
    <mergeCell ref="AV16:AX16"/>
    <mergeCell ref="AY16:BA16"/>
    <mergeCell ref="O16:Q16"/>
    <mergeCell ref="C59:F59"/>
    <mergeCell ref="C65:F65"/>
    <mergeCell ref="A21:B21"/>
    <mergeCell ref="A22:B22"/>
    <mergeCell ref="A23:B23"/>
  </mergeCells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30D6B2AA26CB419988B7DEA76133CC" ma:contentTypeVersion="15" ma:contentTypeDescription="Crie um novo documento." ma:contentTypeScope="" ma:versionID="b73760bac0e69a4c0b3226dea45793da">
  <xsd:schema xmlns:xsd="http://www.w3.org/2001/XMLSchema" xmlns:xs="http://www.w3.org/2001/XMLSchema" xmlns:p="http://schemas.microsoft.com/office/2006/metadata/properties" xmlns:ns3="6b5488a4-d119-41d4-a64a-0c5f0ae610f8" xmlns:ns4="6058f901-5547-4d86-a4b0-d799926fdd8e" targetNamespace="http://schemas.microsoft.com/office/2006/metadata/properties" ma:root="true" ma:fieldsID="f4436d655546a4cf176b20340075fd02" ns3:_="" ns4:_="">
    <xsd:import namespace="6b5488a4-d119-41d4-a64a-0c5f0ae610f8"/>
    <xsd:import namespace="6058f901-5547-4d86-a4b0-d799926fdd8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488a4-d119-41d4-a64a-0c5f0ae61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8f901-5547-4d86-a4b0-d799926fdd8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b5488a4-d119-41d4-a64a-0c5f0ae610f8" xsi:nil="true"/>
  </documentManagement>
</p:properties>
</file>

<file path=customXml/itemProps1.xml><?xml version="1.0" encoding="utf-8"?>
<ds:datastoreItem xmlns:ds="http://schemas.openxmlformats.org/officeDocument/2006/customXml" ds:itemID="{B589C09E-3216-4A25-8E24-2A1040469C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9A4106-E5D6-4571-A096-B659E9EFC3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5488a4-d119-41d4-a64a-0c5f0ae610f8"/>
    <ds:schemaRef ds:uri="6058f901-5547-4d86-a4b0-d799926fdd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9C8678-818F-49B6-B0EB-1E144D27C3DB}">
  <ds:schemaRefs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6058f901-5547-4d86-a4b0-d799926fdd8e"/>
    <ds:schemaRef ds:uri="http://purl.org/dc/elements/1.1/"/>
    <ds:schemaRef ds:uri="6b5488a4-d119-41d4-a64a-0c5f0ae610f8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MAURICIO HIROYUKI KUBO</dc:creator>
  <cp:keywords/>
  <dc:description/>
  <cp:lastModifiedBy>MAURICIO HIROYUKI KUBO</cp:lastModifiedBy>
  <cp:revision/>
  <dcterms:created xsi:type="dcterms:W3CDTF">2024-01-03T19:46:26Z</dcterms:created>
  <dcterms:modified xsi:type="dcterms:W3CDTF">2025-03-01T20:22:47Z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0x010100AE30D6B2AA26CB419988B7DEA76133CC</vt:lpwstr>
  </property>
</Properties>
</file>