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fmsbr-my.sharepoint.com/personal/mauricio_kubo_ufms_br/Documents/Universidade/UFGD/PPGagronegócios/lethicia/Submissao/Land use Policy/dataset_Lethicia_Dorce/"/>
    </mc:Choice>
  </mc:AlternateContent>
  <xr:revisionPtr revIDLastSave="9" documentId="8_{F1161871-4BB8-4E90-B6D1-FF030BFCADC9}" xr6:coauthVersionLast="47" xr6:coauthVersionMax="47" xr10:uidLastSave="{C604891C-FAF5-48AB-B311-042587C80709}"/>
  <bookViews>
    <workbookView xWindow="-108" yWindow="-108" windowWidth="23256" windowHeight="12456" xr2:uid="{D6E38C17-D21D-413E-95D1-D0BECB983572}"/>
  </bookViews>
  <sheets>
    <sheet name="Planilh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3" i="1" l="1"/>
  <c r="B54" i="1"/>
  <c r="B58" i="1"/>
  <c r="B60" i="1"/>
  <c r="C40" i="1"/>
  <c r="C41" i="1"/>
  <c r="C45" i="1"/>
  <c r="C46" i="1"/>
  <c r="C49" i="1"/>
  <c r="C50" i="1"/>
  <c r="C51" i="1"/>
  <c r="C53" i="1"/>
  <c r="C58" i="1"/>
  <c r="C60" i="1"/>
  <c r="D40" i="1"/>
  <c r="D41" i="1"/>
  <c r="D45" i="1"/>
  <c r="D46" i="1"/>
  <c r="D49" i="1"/>
  <c r="D50" i="1"/>
  <c r="D51" i="1"/>
  <c r="D53" i="1"/>
  <c r="D58" i="1"/>
  <c r="D60" i="1"/>
  <c r="E40" i="1"/>
  <c r="E41" i="1"/>
  <c r="E45" i="1"/>
  <c r="E46" i="1"/>
  <c r="E49" i="1"/>
  <c r="E50" i="1"/>
  <c r="E51" i="1"/>
  <c r="E53" i="1"/>
  <c r="E58" i="1"/>
  <c r="E60" i="1"/>
  <c r="F40" i="1"/>
  <c r="F41" i="1"/>
  <c r="F45" i="1"/>
  <c r="F46" i="1"/>
  <c r="F49" i="1"/>
  <c r="F50" i="1"/>
  <c r="F51" i="1"/>
  <c r="F53" i="1"/>
  <c r="F58" i="1"/>
  <c r="F60" i="1"/>
  <c r="G40" i="1"/>
  <c r="G41" i="1"/>
  <c r="G45" i="1"/>
  <c r="G46" i="1"/>
  <c r="G49" i="1"/>
  <c r="G50" i="1"/>
  <c r="G51" i="1"/>
  <c r="G53" i="1"/>
  <c r="G58" i="1"/>
  <c r="G60" i="1"/>
  <c r="H40" i="1"/>
  <c r="H41" i="1"/>
  <c r="H45" i="1"/>
  <c r="H46" i="1"/>
  <c r="H49" i="1"/>
  <c r="H50" i="1"/>
  <c r="H51" i="1"/>
  <c r="H53" i="1"/>
  <c r="H58" i="1"/>
  <c r="H60" i="1"/>
  <c r="I40" i="1"/>
  <c r="I41" i="1"/>
  <c r="I45" i="1"/>
  <c r="I46" i="1"/>
  <c r="I49" i="1"/>
  <c r="I50" i="1"/>
  <c r="I51" i="1"/>
  <c r="I53" i="1"/>
  <c r="I58" i="1"/>
  <c r="I60" i="1"/>
  <c r="J40" i="1"/>
  <c r="J41" i="1"/>
  <c r="J45" i="1"/>
  <c r="J46" i="1"/>
  <c r="J49" i="1"/>
  <c r="J50" i="1"/>
  <c r="J51" i="1"/>
  <c r="J53" i="1"/>
  <c r="J58" i="1"/>
  <c r="J60" i="1"/>
  <c r="K40" i="1"/>
  <c r="K41" i="1"/>
  <c r="K45" i="1"/>
  <c r="K46" i="1"/>
  <c r="K49" i="1"/>
  <c r="K50" i="1"/>
  <c r="K51" i="1"/>
  <c r="K53" i="1"/>
  <c r="K58" i="1"/>
  <c r="K60" i="1"/>
  <c r="L40" i="1"/>
  <c r="L41" i="1"/>
  <c r="L45" i="1"/>
  <c r="L46" i="1"/>
  <c r="L49" i="1"/>
  <c r="L50" i="1"/>
  <c r="L51" i="1"/>
  <c r="L53" i="1"/>
  <c r="L58" i="1"/>
  <c r="L60" i="1"/>
  <c r="M40" i="1"/>
  <c r="M41" i="1"/>
  <c r="M45" i="1"/>
  <c r="M46" i="1"/>
  <c r="M49" i="1"/>
  <c r="M51" i="1"/>
  <c r="M53" i="1"/>
  <c r="M58" i="1"/>
  <c r="M60" i="1"/>
  <c r="N40" i="1"/>
  <c r="N41" i="1"/>
  <c r="N45" i="1"/>
  <c r="N46" i="1"/>
  <c r="N49" i="1"/>
  <c r="N51" i="1"/>
  <c r="N53" i="1"/>
  <c r="N58" i="1"/>
  <c r="N60" i="1"/>
  <c r="O40" i="1"/>
  <c r="O41" i="1"/>
  <c r="O45" i="1"/>
  <c r="O46" i="1"/>
  <c r="O49" i="1"/>
  <c r="O51" i="1"/>
  <c r="O53" i="1"/>
  <c r="O58" i="1"/>
  <c r="O60" i="1"/>
  <c r="P40" i="1"/>
  <c r="P41" i="1"/>
  <c r="P45" i="1"/>
  <c r="P46" i="1"/>
  <c r="P49" i="1"/>
  <c r="P51" i="1"/>
  <c r="P53" i="1"/>
  <c r="P58" i="1"/>
  <c r="P60" i="1"/>
  <c r="Q40" i="1"/>
  <c r="Q41" i="1"/>
  <c r="Q45" i="1"/>
  <c r="Q46" i="1"/>
  <c r="Q49" i="1"/>
  <c r="Q51" i="1"/>
  <c r="Q53" i="1"/>
  <c r="Q58" i="1"/>
  <c r="Q60" i="1"/>
  <c r="R40" i="1"/>
  <c r="R41" i="1"/>
  <c r="R45" i="1"/>
  <c r="R46" i="1"/>
  <c r="R49" i="1"/>
  <c r="R51" i="1"/>
  <c r="R53" i="1"/>
  <c r="R58" i="1"/>
  <c r="R60" i="1"/>
  <c r="S40" i="1"/>
  <c r="S41" i="1"/>
  <c r="S45" i="1"/>
  <c r="S46" i="1"/>
  <c r="S49" i="1"/>
  <c r="S51" i="1"/>
  <c r="S53" i="1"/>
  <c r="S58" i="1"/>
  <c r="S60" i="1"/>
  <c r="T40" i="1"/>
  <c r="T41" i="1"/>
  <c r="T45" i="1"/>
  <c r="T46" i="1"/>
  <c r="T49" i="1"/>
  <c r="T51" i="1"/>
  <c r="T53" i="1"/>
  <c r="T58" i="1"/>
  <c r="T60" i="1"/>
  <c r="U40" i="1"/>
  <c r="U41" i="1"/>
  <c r="U45" i="1"/>
  <c r="U46" i="1"/>
  <c r="U49" i="1"/>
  <c r="U51" i="1"/>
  <c r="U53" i="1"/>
  <c r="U58" i="1"/>
  <c r="U60" i="1"/>
  <c r="V40" i="1"/>
  <c r="V41" i="1"/>
  <c r="V45" i="1"/>
  <c r="V46" i="1"/>
  <c r="V49" i="1"/>
  <c r="V50" i="1"/>
  <c r="V51" i="1"/>
  <c r="V53" i="1"/>
  <c r="W41" i="1"/>
  <c r="W47" i="1"/>
  <c r="W48" i="1"/>
  <c r="W49" i="1"/>
  <c r="V57" i="1"/>
  <c r="V58" i="1"/>
  <c r="V60" i="1"/>
  <c r="B75" i="1"/>
  <c r="B66" i="1"/>
  <c r="B74" i="1" s="1"/>
  <c r="B69" i="1"/>
  <c r="B70" i="1"/>
  <c r="B72" i="1" s="1"/>
  <c r="B71" i="1"/>
  <c r="B65" i="1"/>
  <c r="B68" i="1" s="1"/>
  <c r="B67" i="1"/>
  <c r="B63" i="1"/>
  <c r="W60" i="1"/>
  <c r="T17" i="1"/>
  <c r="U17" i="1"/>
  <c r="S17" i="1"/>
  <c r="B7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tc={CEF6246A-D649-40BC-9B2E-F30CCF7257EC}</author>
    <author>Windows</author>
    <author>tc={B432C530-A21A-44AE-9FF1-26A8867435AE}</author>
  </authors>
  <commentList>
    <comment ref="A44" authorId="0" shapeId="0" xr:uid="{CEF6246A-D649-40BC-9B2E-F30CCF7257EC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Compra de bandeija</t>
      </text>
    </comment>
    <comment ref="A46" authorId="1" shapeId="0" xr:uid="{2FE6ABA5-6083-4E95-ADDC-42D5E5D75897}">
      <text>
        <r>
          <rPr>
            <b/>
            <sz val="9"/>
            <color indexed="81"/>
            <rFont val="Segoe UI"/>
            <family val="2"/>
          </rPr>
          <t>Windows:</t>
        </r>
        <r>
          <rPr>
            <sz val="9"/>
            <color indexed="81"/>
            <rFont val="Segoe UI"/>
            <family val="2"/>
          </rPr>
          <t xml:space="preserve">
Lei nº 9.393, de 1996, art. 11, e Anexo; RITR/2002, art. 34; IN SRF nº 256, de 2002, art. 34). Área total do imóvel: até 50 há . Grau de utilização: &lt; 65% até 80% - taxa 0,20%</t>
        </r>
      </text>
    </comment>
    <comment ref="A47" authorId="1" shapeId="0" xr:uid="{A83B58A3-83E4-4C9A-B3BB-23BA8AE5398F}">
      <text>
        <r>
          <rPr>
            <b/>
            <sz val="9"/>
            <color indexed="81"/>
            <rFont val="Segoe UI"/>
            <family val="2"/>
          </rPr>
          <t>Windows:</t>
        </r>
        <r>
          <rPr>
            <sz val="9"/>
            <color indexed="81"/>
            <rFont val="Segoe UI"/>
            <family val="2"/>
          </rPr>
          <t xml:space="preserve">
O valor do ITR a ser pago é obtido mediante a multiplicação do VTNt pela alíquota correspondente,
considerados a área total e o grau de utilização (GU) do imóvel rural.
(Lei nº 9.393, de 1996, art. 11; RITR/2002, art. 35; IN SRF nº 256, de 2002, art. 35).
</t>
        </r>
      </text>
    </comment>
    <comment ref="A48" authorId="1" shapeId="0" xr:uid="{F3A5238B-C112-468C-A7D9-9E6ADBBA81B6}">
      <text>
        <r>
          <rPr>
            <b/>
            <sz val="9"/>
            <color indexed="81"/>
            <rFont val="Segoe UI"/>
            <family val="2"/>
          </rPr>
          <t>Windows:</t>
        </r>
        <r>
          <rPr>
            <sz val="9"/>
            <color indexed="81"/>
            <rFont val="Segoe UI"/>
            <family val="2"/>
          </rPr>
          <t xml:space="preserve">
o valor (custo) de aquisição unitário não poderá ser superior a R$ 1.200,00. </t>
        </r>
      </text>
    </comment>
    <comment ref="A50" authorId="1" shapeId="0" xr:uid="{9F44ED7D-08CE-4EFD-A3DF-239042039806}">
      <text>
        <r>
          <rPr>
            <b/>
            <sz val="9"/>
            <color indexed="81"/>
            <rFont val="Segoe UI"/>
            <family val="2"/>
          </rPr>
          <t>Windows:</t>
        </r>
        <r>
          <rPr>
            <sz val="9"/>
            <color indexed="81"/>
            <rFont val="Segoe UI"/>
            <family val="2"/>
          </rPr>
          <t xml:space="preserve">
lucro antes dos juros x Alíquota} – Parcela a deduzir
aqui foi considerado a aliquota de 27,5% até o ano 5, depois se torna insento. Ano de exercicio 2024.
Professor é preciso verificar se eu não estou fazendo a dedução do Imposto de Renda 2x. Acredito que estou o senhor pode conferir por favor.
Ver célula A3 com A16. Os dois foram 27,5% de tributação.</t>
        </r>
      </text>
    </comment>
    <comment ref="C54" authorId="2" shapeId="0" xr:uid="{B432C530-A21A-44AE-9FF1-26A8867435AE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Professor, foi considerado o valor da terra para todos os anos. Nesse arranjo proposto o agricultor possui a própria terra. Pode verificar se este calculo está correto.</t>
      </text>
    </comment>
    <comment ref="R54" authorId="1" shapeId="0" xr:uid="{6A947460-007F-4748-A6A9-3152DB789981}">
      <text>
        <r>
          <rPr>
            <b/>
            <sz val="9"/>
            <color indexed="81"/>
            <rFont val="Segoe UI"/>
            <family val="2"/>
          </rPr>
          <t>Windows:</t>
        </r>
        <r>
          <rPr>
            <sz val="9"/>
            <color indexed="81"/>
            <rFont val="Segoe UI"/>
            <family val="2"/>
          </rPr>
          <t xml:space="preserve">
Inclui o valor residual de 5% conforme manual da CONAB</t>
        </r>
      </text>
    </comment>
    <comment ref="A55" authorId="1" shapeId="0" xr:uid="{79F496A5-0E4A-40D9-A845-ED6ECE756A82}">
      <text>
        <r>
          <rPr>
            <b/>
            <sz val="9"/>
            <color indexed="81"/>
            <rFont val="Segoe UI"/>
            <family val="2"/>
          </rPr>
          <t>Windows:</t>
        </r>
        <r>
          <rPr>
            <sz val="9"/>
            <color indexed="81"/>
            <rFont val="Segoe UI"/>
            <family val="2"/>
          </rPr>
          <t xml:space="preserve">
CUSTO FIXO - CONAB</t>
        </r>
      </text>
    </comment>
  </commentList>
</comments>
</file>

<file path=xl/sharedStrings.xml><?xml version="1.0" encoding="utf-8"?>
<sst xmlns="http://schemas.openxmlformats.org/spreadsheetml/2006/main" count="179" uniqueCount="97">
  <si>
    <t>INPUTS - PREÇO</t>
  </si>
  <si>
    <t>Dolar</t>
  </si>
  <si>
    <t>Cenário</t>
  </si>
  <si>
    <t>Pessimista</t>
  </si>
  <si>
    <t>Realista</t>
  </si>
  <si>
    <t>Otimista</t>
  </si>
  <si>
    <t>Acerola - price</t>
  </si>
  <si>
    <t>Baru Nut - price</t>
  </si>
  <si>
    <t>Guava - price</t>
  </si>
  <si>
    <t>Orange - price</t>
  </si>
  <si>
    <t>Lemon - price</t>
  </si>
  <si>
    <t>Mango - price</t>
  </si>
  <si>
    <t>Lettuce - price</t>
  </si>
  <si>
    <t>Arugula - price</t>
  </si>
  <si>
    <t>Cassava Root - price</t>
  </si>
  <si>
    <t>Cassava Leaf /Stem - price</t>
  </si>
  <si>
    <t>Spanish Plum - price</t>
  </si>
  <si>
    <t>Baru Nut - Wood - price</t>
  </si>
  <si>
    <t>Jatoba - Wood - price</t>
  </si>
  <si>
    <t>Purple Trumpet Tree - price</t>
  </si>
  <si>
    <t>Ton of carbon - price</t>
  </si>
  <si>
    <t>INPUTS - PRODUTIVIDADE</t>
  </si>
  <si>
    <t>Ano 1</t>
  </si>
  <si>
    <t>Ano 2</t>
  </si>
  <si>
    <t>Ano 3</t>
  </si>
  <si>
    <t>Ano 4</t>
  </si>
  <si>
    <t>Ano 5</t>
  </si>
  <si>
    <t>Ano 6</t>
  </si>
  <si>
    <t>Ano 7</t>
  </si>
  <si>
    <t>Ano 8</t>
  </si>
  <si>
    <t>Ano 9</t>
  </si>
  <si>
    <t>Ano 10</t>
  </si>
  <si>
    <t>Ano 11</t>
  </si>
  <si>
    <t>Ano 12</t>
  </si>
  <si>
    <t>Ano 13</t>
  </si>
  <si>
    <t>Ano 14</t>
  </si>
  <si>
    <t>Ano 15</t>
  </si>
  <si>
    <t>Ano 16</t>
  </si>
  <si>
    <t>Ano 17</t>
  </si>
  <si>
    <t>Ano 18</t>
  </si>
  <si>
    <t>Ano 19</t>
  </si>
  <si>
    <t>Ano 20</t>
  </si>
  <si>
    <t>Acerola - productivity</t>
  </si>
  <si>
    <t>Baru Nut - productivity</t>
  </si>
  <si>
    <t>Guava - productivity</t>
  </si>
  <si>
    <t>Orange - productivity</t>
  </si>
  <si>
    <t>Lemon - productivity</t>
  </si>
  <si>
    <t>Mango - productivity</t>
  </si>
  <si>
    <t>Lettuce - productivity</t>
  </si>
  <si>
    <t>Arugula - productivity</t>
  </si>
  <si>
    <t>Cassava Root- productivity</t>
  </si>
  <si>
    <t>Cassava Leaf /Stem - productivity</t>
  </si>
  <si>
    <t>Spanish Plum - productivity</t>
  </si>
  <si>
    <t>Baru Nut - Wood - productivity</t>
  </si>
  <si>
    <t>Jatoba - Wood - productivity</t>
  </si>
  <si>
    <t>Purple Trumpet Tree - productivity</t>
  </si>
  <si>
    <t>Ton of carbon - productivity</t>
  </si>
  <si>
    <t>Ano 0</t>
  </si>
  <si>
    <t>1. RECEITAS</t>
  </si>
  <si>
    <t xml:space="preserve">2. CUSTOS E DESPESAS VARIÁVEIS  </t>
  </si>
  <si>
    <t>2.1 Maquinário-preparo do solo</t>
  </si>
  <si>
    <t>2.2 Mão de obra</t>
  </si>
  <si>
    <t>2.3 Insumos</t>
  </si>
  <si>
    <t>4. MARGEM DE CONTRIBUIÇÃO</t>
  </si>
  <si>
    <t>5. CUSTOS E DESPESAS FIXAS (exceto depreciação)</t>
  </si>
  <si>
    <t>5.1 Imposto Territorial Rural - ITR</t>
  </si>
  <si>
    <t>ITR</t>
  </si>
  <si>
    <t>5.2 Depreciação</t>
  </si>
  <si>
    <t>6. LUCRO ANTES DOS JUROS E IR</t>
  </si>
  <si>
    <t xml:space="preserve">6.1 IR (%) 27,5% </t>
  </si>
  <si>
    <t>7. LUCRO OPERACIONAL LÍQUIDO</t>
  </si>
  <si>
    <t>7.1 Depreciação</t>
  </si>
  <si>
    <t xml:space="preserve">8. (FCO) FLUXO DE CAIXA OPERACIONAL </t>
  </si>
  <si>
    <t>9. INVESTIMENTOS FIXOS</t>
  </si>
  <si>
    <t>9.1 Terra</t>
  </si>
  <si>
    <t>9.2 Maquina e equipamento</t>
  </si>
  <si>
    <t>10. INVESTIMENTOS CIRCULANTES</t>
  </si>
  <si>
    <t>11. (FCL) FLUXO DE CAIXA LIVRE</t>
  </si>
  <si>
    <t>12. Amortização de juros do financiamento bancário (PRONAF)</t>
  </si>
  <si>
    <t>13. FLUXO DE CAIXA DO PRODUTOR</t>
  </si>
  <si>
    <t>TAXA INTERNA DE RETORNO</t>
  </si>
  <si>
    <t>ao ano</t>
  </si>
  <si>
    <t>CUSTO DO CAPITAL PRÓPRIO (do produtor)</t>
  </si>
  <si>
    <t>VP DO FLUXO DE CAIXA DO PRODUTOR</t>
  </si>
  <si>
    <t>VPL DO FLUXO DE CAIXA DO PRODUTOR</t>
  </si>
  <si>
    <t>INDICE DE GERAÇÃO DE CAIXA</t>
  </si>
  <si>
    <t>(para cada R$ 1,00 real investido, o projeto gera R$ 6,47 de caixa)</t>
  </si>
  <si>
    <t>PAYBACK ATUALIZADO</t>
  </si>
  <si>
    <t>anos</t>
  </si>
  <si>
    <t>VP DOS BENEFÍCIOS</t>
  </si>
  <si>
    <t>VP DOS CUSTOS VARIÁVEIS</t>
  </si>
  <si>
    <t>VP DOS CUSTOS FIXOS</t>
  </si>
  <si>
    <t>VP DOS CUSTOS TOTAIS</t>
  </si>
  <si>
    <t>RELAÇÃO BENEFÍCIO/CUSTO</t>
  </si>
  <si>
    <t>(para cada R$ 1,00 de custos totais, o projeto gera R$ 4,46 de receitas)</t>
  </si>
  <si>
    <t>VALOR ANUAL UNIFORME EQUIVALENTE (VAUE)</t>
  </si>
  <si>
    <t>TAXA INTERNA DE RETORNO MODIFICADA (MIR)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</si>
</sst>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_(&quot;R$ &quot;* #,##0.00_);_(&quot;R$ &quot;* \(#,##0.00\);_(&quot;R$ &quot;* &quot;-&quot;??_);_(@_)"/>
    <numFmt numFmtId="165" formatCode="#,##0.00_ ;[Red]\-#,##0.00\ 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9"/>
      <color indexed="81"/>
      <name val="Segoe UI"/>
      <family val="2"/>
    </font>
    <font>
      <sz val="9"/>
      <color indexed="81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3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1" xfId="0" applyBorder="1"/>
    <xf numFmtId="2" fontId="0" fillId="0" borderId="0" xfId="0" applyNumberFormat="1"/>
    <xf numFmtId="2" fontId="0" fillId="0" borderId="1" xfId="0" applyNumberFormat="1" applyBorder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2" fontId="0" fillId="0" borderId="3" xfId="0" applyNumberFormat="1" applyBorder="1"/>
    <xf numFmtId="1" fontId="0" fillId="0" borderId="0" xfId="0" applyNumberFormat="1"/>
    <xf numFmtId="0" fontId="0" fillId="0" borderId="3" xfId="0" applyBorder="1"/>
    <xf numFmtId="3" fontId="0" fillId="0" borderId="0" xfId="0" applyNumberFormat="1"/>
    <xf numFmtId="3" fontId="0" fillId="2" borderId="1" xfId="0" applyNumberFormat="1" applyFill="1" applyBorder="1"/>
    <xf numFmtId="3" fontId="0" fillId="0" borderId="1" xfId="0" applyNumberFormat="1" applyBorder="1"/>
    <xf numFmtId="4" fontId="0" fillId="0" borderId="1" xfId="0" applyNumberFormat="1" applyBorder="1"/>
    <xf numFmtId="4" fontId="0" fillId="2" borderId="1" xfId="0" applyNumberFormat="1" applyFill="1" applyBorder="1"/>
    <xf numFmtId="0" fontId="4" fillId="0" borderId="0" xfId="0" applyFont="1"/>
    <xf numFmtId="0" fontId="4" fillId="0" borderId="4" xfId="0" applyFont="1" applyBorder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64" fontId="5" fillId="3" borderId="5" xfId="3" applyFont="1" applyFill="1" applyBorder="1" applyAlignment="1">
      <alignment horizontal="center" vertical="center"/>
    </xf>
    <xf numFmtId="164" fontId="5" fillId="3" borderId="0" xfId="3" applyFont="1" applyFill="1" applyBorder="1" applyAlignment="1">
      <alignment horizontal="center" vertical="center"/>
    </xf>
    <xf numFmtId="164" fontId="5" fillId="3" borderId="6" xfId="3" applyFont="1" applyFill="1" applyBorder="1" applyAlignment="1">
      <alignment horizontal="center" vertical="center"/>
    </xf>
    <xf numFmtId="164" fontId="5" fillId="3" borderId="7" xfId="3" applyFont="1" applyFill="1" applyBorder="1" applyAlignment="1">
      <alignment horizontal="center" vertical="center"/>
    </xf>
    <xf numFmtId="0" fontId="6" fillId="0" borderId="0" xfId="0" applyFont="1"/>
    <xf numFmtId="0" fontId="7" fillId="0" borderId="6" xfId="0" applyFont="1" applyBorder="1"/>
    <xf numFmtId="4" fontId="8" fillId="0" borderId="8" xfId="3" applyNumberFormat="1" applyFont="1" applyBorder="1" applyAlignment="1">
      <alignment horizontal="center" vertical="center"/>
    </xf>
    <xf numFmtId="4" fontId="6" fillId="0" borderId="9" xfId="0" applyNumberFormat="1" applyFont="1" applyBorder="1"/>
    <xf numFmtId="164" fontId="5" fillId="0" borderId="0" xfId="3" applyFont="1"/>
    <xf numFmtId="4" fontId="6" fillId="0" borderId="8" xfId="3" applyNumberFormat="1" applyFont="1" applyBorder="1" applyAlignment="1">
      <alignment horizontal="center"/>
    </xf>
    <xf numFmtId="4" fontId="5" fillId="0" borderId="6" xfId="3" applyNumberFormat="1" applyFont="1" applyBorder="1" applyAlignment="1">
      <alignment horizontal="center"/>
    </xf>
    <xf numFmtId="4" fontId="5" fillId="0" borderId="7" xfId="3" applyNumberFormat="1" applyFont="1" applyBorder="1" applyAlignment="1">
      <alignment horizontal="center"/>
    </xf>
    <xf numFmtId="4" fontId="10" fillId="0" borderId="0" xfId="0" applyNumberFormat="1" applyFont="1"/>
    <xf numFmtId="164" fontId="6" fillId="0" borderId="8" xfId="3" applyFont="1" applyBorder="1"/>
    <xf numFmtId="4" fontId="6" fillId="0" borderId="0" xfId="3" applyNumberFormat="1" applyFont="1" applyAlignment="1">
      <alignment horizontal="center"/>
    </xf>
    <xf numFmtId="4" fontId="11" fillId="0" borderId="9" xfId="0" applyNumberFormat="1" applyFont="1" applyBorder="1"/>
    <xf numFmtId="164" fontId="6" fillId="0" borderId="0" xfId="3" applyFont="1"/>
    <xf numFmtId="4" fontId="6" fillId="0" borderId="10" xfId="3" applyNumberFormat="1" applyFont="1" applyBorder="1" applyAlignment="1">
      <alignment horizontal="center"/>
    </xf>
    <xf numFmtId="4" fontId="11" fillId="0" borderId="0" xfId="0" applyNumberFormat="1" applyFont="1"/>
    <xf numFmtId="164" fontId="6" fillId="4" borderId="0" xfId="3" applyFont="1" applyFill="1"/>
    <xf numFmtId="4" fontId="6" fillId="0" borderId="4" xfId="3" applyNumberFormat="1" applyFont="1" applyBorder="1" applyAlignment="1">
      <alignment horizontal="center"/>
    </xf>
    <xf numFmtId="4" fontId="6" fillId="0" borderId="11" xfId="3" applyNumberFormat="1" applyFont="1" applyBorder="1" applyAlignment="1">
      <alignment horizontal="center"/>
    </xf>
    <xf numFmtId="164" fontId="5" fillId="0" borderId="8" xfId="3" applyFont="1" applyBorder="1"/>
    <xf numFmtId="164" fontId="5" fillId="0" borderId="8" xfId="3" applyFont="1" applyBorder="1" applyAlignment="1">
      <alignment horizontal="left"/>
    </xf>
    <xf numFmtId="4" fontId="6" fillId="0" borderId="0" xfId="3" applyNumberFormat="1" applyFont="1"/>
    <xf numFmtId="4" fontId="5" fillId="0" borderId="0" xfId="0" applyNumberFormat="1" applyFont="1"/>
    <xf numFmtId="4" fontId="5" fillId="0" borderId="6" xfId="0" applyNumberFormat="1" applyFont="1" applyBorder="1"/>
    <xf numFmtId="4" fontId="5" fillId="0" borderId="7" xfId="0" applyNumberFormat="1" applyFont="1" applyBorder="1"/>
    <xf numFmtId="164" fontId="6" fillId="0" borderId="8" xfId="3" applyFont="1" applyFill="1" applyBorder="1"/>
    <xf numFmtId="4" fontId="6" fillId="0" borderId="8" xfId="3" applyNumberFormat="1" applyFont="1" applyFill="1" applyBorder="1"/>
    <xf numFmtId="4" fontId="8" fillId="0" borderId="8" xfId="3" applyNumberFormat="1" applyFont="1" applyFill="1" applyBorder="1"/>
    <xf numFmtId="4" fontId="8" fillId="0" borderId="0" xfId="3" applyNumberFormat="1" applyFont="1" applyFill="1"/>
    <xf numFmtId="44" fontId="0" fillId="0" borderId="0" xfId="1" applyFont="1" applyFill="1"/>
    <xf numFmtId="10" fontId="0" fillId="0" borderId="0" xfId="0" applyNumberFormat="1"/>
    <xf numFmtId="4" fontId="6" fillId="0" borderId="4" xfId="3" applyNumberFormat="1" applyFont="1" applyBorder="1"/>
    <xf numFmtId="4" fontId="8" fillId="0" borderId="0" xfId="3" applyNumberFormat="1" applyFont="1"/>
    <xf numFmtId="164" fontId="5" fillId="0" borderId="6" xfId="3" applyFont="1" applyBorder="1"/>
    <xf numFmtId="4" fontId="8" fillId="0" borderId="0" xfId="3" applyNumberFormat="1" applyFont="1" applyBorder="1"/>
    <xf numFmtId="4" fontId="9" fillId="0" borderId="6" xfId="3" applyNumberFormat="1" applyFont="1" applyBorder="1"/>
    <xf numFmtId="4" fontId="9" fillId="0" borderId="7" xfId="3" applyNumberFormat="1" applyFont="1" applyBorder="1"/>
    <xf numFmtId="164" fontId="6" fillId="0" borderId="4" xfId="3" applyFont="1" applyFill="1" applyBorder="1"/>
    <xf numFmtId="4" fontId="8" fillId="0" borderId="6" xfId="3" applyNumberFormat="1" applyFont="1" applyBorder="1"/>
    <xf numFmtId="4" fontId="8" fillId="0" borderId="6" xfId="3" applyNumberFormat="1" applyFont="1" applyFill="1" applyBorder="1"/>
    <xf numFmtId="4" fontId="6" fillId="0" borderId="0" xfId="0" applyNumberFormat="1" applyFont="1"/>
    <xf numFmtId="164" fontId="9" fillId="0" borderId="0" xfId="3" applyFont="1"/>
    <xf numFmtId="4" fontId="8" fillId="0" borderId="0" xfId="0" applyNumberFormat="1" applyFont="1"/>
    <xf numFmtId="4" fontId="8" fillId="0" borderId="10" xfId="0" applyNumberFormat="1" applyFont="1" applyBorder="1"/>
    <xf numFmtId="164" fontId="6" fillId="0" borderId="4" xfId="3" applyFont="1" applyBorder="1"/>
    <xf numFmtId="4" fontId="8" fillId="0" borderId="11" xfId="3" applyNumberFormat="1" applyFont="1" applyBorder="1"/>
    <xf numFmtId="164" fontId="5" fillId="0" borderId="0" xfId="3" applyFont="1" applyBorder="1"/>
    <xf numFmtId="4" fontId="9" fillId="0" borderId="6" xfId="0" applyNumberFormat="1" applyFont="1" applyBorder="1"/>
    <xf numFmtId="4" fontId="9" fillId="0" borderId="4" xfId="3" applyNumberFormat="1" applyFont="1" applyBorder="1"/>
    <xf numFmtId="4" fontId="9" fillId="0" borderId="11" xfId="3" applyNumberFormat="1" applyFont="1" applyBorder="1"/>
    <xf numFmtId="164" fontId="6" fillId="0" borderId="0" xfId="3" applyFont="1" applyBorder="1"/>
    <xf numFmtId="4" fontId="8" fillId="0" borderId="4" xfId="3" applyNumberFormat="1" applyFont="1" applyBorder="1"/>
    <xf numFmtId="4" fontId="6" fillId="0" borderId="4" xfId="0" applyNumberFormat="1" applyFont="1" applyBorder="1"/>
    <xf numFmtId="4" fontId="9" fillId="0" borderId="6" xfId="1" applyNumberFormat="1" applyFont="1" applyBorder="1"/>
    <xf numFmtId="4" fontId="8" fillId="0" borderId="6" xfId="1" applyNumberFormat="1" applyFont="1" applyBorder="1"/>
    <xf numFmtId="4" fontId="6" fillId="0" borderId="6" xfId="0" applyNumberFormat="1" applyFont="1" applyBorder="1"/>
    <xf numFmtId="4" fontId="9" fillId="0" borderId="0" xfId="1" applyNumberFormat="1" applyFont="1" applyAlignment="1">
      <alignment horizontal="right" vertical="center"/>
    </xf>
    <xf numFmtId="164" fontId="12" fillId="0" borderId="6" xfId="3" applyFont="1" applyBorder="1"/>
    <xf numFmtId="164" fontId="5" fillId="0" borderId="4" xfId="3" applyFont="1" applyBorder="1"/>
    <xf numFmtId="4" fontId="9" fillId="0" borderId="4" xfId="1" applyNumberFormat="1" applyFont="1" applyBorder="1"/>
    <xf numFmtId="4" fontId="4" fillId="0" borderId="9" xfId="0" applyNumberFormat="1" applyFont="1" applyBorder="1"/>
    <xf numFmtId="44" fontId="14" fillId="0" borderId="0" xfId="3" applyNumberFormat="1" applyFont="1" applyFill="1" applyBorder="1"/>
    <xf numFmtId="44" fontId="15" fillId="0" borderId="0" xfId="3" applyNumberFormat="1" applyFont="1" applyFill="1" applyBorder="1"/>
    <xf numFmtId="44" fontId="16" fillId="0" borderId="0" xfId="3" applyNumberFormat="1" applyFont="1" applyFill="1" applyBorder="1"/>
    <xf numFmtId="44" fontId="14" fillId="0" borderId="0" xfId="0" applyNumberFormat="1" applyFont="1"/>
    <xf numFmtId="0" fontId="14" fillId="0" borderId="0" xfId="0" applyFont="1"/>
    <xf numFmtId="44" fontId="4" fillId="0" borderId="4" xfId="3" applyNumberFormat="1" applyFont="1" applyFill="1" applyBorder="1"/>
    <xf numFmtId="0" fontId="4" fillId="0" borderId="4" xfId="0" applyFont="1" applyBorder="1"/>
    <xf numFmtId="44" fontId="16" fillId="0" borderId="4" xfId="3" applyNumberFormat="1" applyFont="1" applyFill="1" applyBorder="1"/>
    <xf numFmtId="44" fontId="4" fillId="0" borderId="0" xfId="0" applyNumberFormat="1" applyFont="1"/>
    <xf numFmtId="44" fontId="17" fillId="5" borderId="4" xfId="3" applyNumberFormat="1" applyFont="1" applyFill="1" applyBorder="1"/>
    <xf numFmtId="10" fontId="17" fillId="5" borderId="0" xfId="2" applyNumberFormat="1" applyFont="1" applyFill="1" applyBorder="1"/>
    <xf numFmtId="44" fontId="17" fillId="5" borderId="6" xfId="3" applyNumberFormat="1" applyFont="1" applyFill="1" applyBorder="1"/>
    <xf numFmtId="9" fontId="4" fillId="0" borderId="0" xfId="0" applyNumberFormat="1" applyFont="1"/>
    <xf numFmtId="44" fontId="17" fillId="0" borderId="0" xfId="3" applyNumberFormat="1" applyFont="1" applyFill="1" applyBorder="1"/>
    <xf numFmtId="44" fontId="17" fillId="0" borderId="6" xfId="3" applyNumberFormat="1" applyFont="1" applyFill="1" applyBorder="1"/>
    <xf numFmtId="10" fontId="17" fillId="0" borderId="6" xfId="2" applyNumberFormat="1" applyFont="1" applyFill="1" applyBorder="1"/>
    <xf numFmtId="1" fontId="16" fillId="0" borderId="0" xfId="3" applyNumberFormat="1" applyFont="1" applyFill="1" applyBorder="1"/>
    <xf numFmtId="4" fontId="17" fillId="0" borderId="0" xfId="2" applyNumberFormat="1" applyFont="1" applyFill="1" applyBorder="1"/>
    <xf numFmtId="4" fontId="4" fillId="0" borderId="0" xfId="0" applyNumberFormat="1" applyFont="1"/>
    <xf numFmtId="44" fontId="17" fillId="5" borderId="8" xfId="3" applyNumberFormat="1" applyFont="1" applyFill="1" applyBorder="1"/>
    <xf numFmtId="4" fontId="17" fillId="5" borderId="8" xfId="3" applyNumberFormat="1" applyFont="1" applyFill="1" applyBorder="1"/>
    <xf numFmtId="44" fontId="17" fillId="0" borderId="8" xfId="3" applyNumberFormat="1" applyFont="1" applyFill="1" applyBorder="1"/>
    <xf numFmtId="2" fontId="17" fillId="5" borderId="6" xfId="3" applyNumberFormat="1" applyFont="1" applyFill="1" applyBorder="1"/>
    <xf numFmtId="4" fontId="17" fillId="5" borderId="0" xfId="3" applyNumberFormat="1" applyFont="1" applyFill="1" applyBorder="1"/>
    <xf numFmtId="165" fontId="17" fillId="0" borderId="8" xfId="3" applyNumberFormat="1" applyFont="1" applyFill="1" applyBorder="1"/>
    <xf numFmtId="44" fontId="16" fillId="0" borderId="8" xfId="3" applyNumberFormat="1" applyFont="1" applyFill="1" applyBorder="1"/>
    <xf numFmtId="44" fontId="16" fillId="0" borderId="6" xfId="3" applyNumberFormat="1" applyFont="1" applyFill="1" applyBorder="1"/>
    <xf numFmtId="2" fontId="17" fillId="5" borderId="8" xfId="3" applyNumberFormat="1" applyFont="1" applyFill="1" applyBorder="1"/>
    <xf numFmtId="10" fontId="17" fillId="5" borderId="8" xfId="2" applyNumberFormat="1" applyFont="1" applyFill="1" applyBorder="1"/>
    <xf numFmtId="9" fontId="17" fillId="5" borderId="6" xfId="2" applyFont="1" applyFill="1" applyBorder="1"/>
    <xf numFmtId="4" fontId="9" fillId="0" borderId="5" xfId="3" applyNumberFormat="1" applyFont="1" applyBorder="1" applyAlignment="1">
      <alignment horizontal="center"/>
    </xf>
    <xf numFmtId="4" fontId="9" fillId="0" borderId="5" xfId="3" applyNumberFormat="1" applyFont="1" applyFill="1" applyBorder="1" applyAlignment="1">
      <alignment horizontal="center"/>
    </xf>
    <xf numFmtId="4" fontId="8" fillId="0" borderId="6" xfId="1" applyNumberFormat="1" applyFont="1" applyBorder="1" applyAlignment="1">
      <alignment horizontal="center"/>
    </xf>
    <xf numFmtId="4" fontId="8" fillId="0" borderId="6" xfId="3" applyNumberFormat="1" applyFont="1" applyBorder="1" applyAlignment="1">
      <alignment horizontal="center"/>
    </xf>
    <xf numFmtId="2" fontId="12" fillId="0" borderId="5" xfId="0" applyNumberFormat="1" applyFont="1" applyBorder="1" applyAlignment="1">
      <alignment horizontal="center"/>
    </xf>
    <xf numFmtId="2" fontId="12" fillId="0" borderId="6" xfId="0" applyNumberFormat="1" applyFont="1" applyBorder="1" applyAlignment="1">
      <alignment horizontal="center"/>
    </xf>
    <xf numFmtId="2" fontId="12" fillId="0" borderId="7" xfId="0" applyNumberFormat="1" applyFont="1" applyBorder="1" applyAlignment="1">
      <alignment horizontal="center"/>
    </xf>
    <xf numFmtId="4" fontId="13" fillId="0" borderId="4" xfId="1" applyNumberFormat="1" applyFont="1" applyBorder="1" applyAlignment="1">
      <alignment horizontal="center"/>
    </xf>
    <xf numFmtId="4" fontId="13" fillId="0" borderId="4" xfId="3" applyNumberFormat="1" applyFont="1" applyBorder="1" applyAlignment="1">
      <alignment horizontal="center"/>
    </xf>
    <xf numFmtId="44" fontId="17" fillId="5" borderId="0" xfId="3" applyNumberFormat="1" applyFont="1" applyFill="1" applyBorder="1" applyAlignment="1">
      <alignment horizontal="left"/>
    </xf>
    <xf numFmtId="44" fontId="17" fillId="5" borderId="6" xfId="3" applyNumberFormat="1" applyFont="1" applyFill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</cellXfs>
  <cellStyles count="4">
    <cellStyle name="Moeda" xfId="1" builtinId="4"/>
    <cellStyle name="Moeda 2" xfId="3" xr:uid="{16908E70-A174-4510-B50D-108513EBCDEF}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AURICIO HIROYUKI KUBO" id="{FCD2DC5E-429C-4C88-88B9-CBB126927E2B}" userId="S::mauricio.kubo@ufms.br::dda5a9b1-92c2-4ee3-a812-58197be32096" providerId="AD"/>
  <person displayName="LETHICIA CAMILA DORCE" id="{897635A7-06A7-4AD3-906A-4AC25C160ECE}" userId="S::lethicia_dorce@ufms.br::fef36a35-0c3f-4ac4-9b92-52f5c4439242" providerId="AD"/>
</personList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44" dT="2023-12-29T03:41:14.42" personId="{FCD2DC5E-429C-4C88-88B9-CBB126927E2B}" id="{CEF6246A-D649-40BC-9B2E-F30CCF7257EC}">
    <text>Compra de bandeija</text>
  </threadedComment>
  <threadedComment ref="C54" dT="2023-09-17T17:20:39.28" personId="{897635A7-06A7-4AD3-906A-4AC25C160ECE}" id="{B432C530-A21A-44AE-9FF1-26A8867435AE}">
    <text>Professor, foi considerado o valor da terra para todos os anos. Nesse arranjo proposto o agricultor possui a própria terra. Pode verificar se este calculo está correto.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D4780-DF12-4E4F-8B4F-FB5318003741}">
  <dimension ref="A1:BJ75"/>
  <sheetViews>
    <sheetView tabSelected="1" topLeftCell="A39" zoomScale="70" zoomScaleNormal="70" workbookViewId="0">
      <selection activeCell="G58" sqref="G58"/>
    </sheetView>
  </sheetViews>
  <sheetFormatPr defaultRowHeight="14.4" x14ac:dyDescent="0.3"/>
  <cols>
    <col min="1" max="1" width="60.5546875" bestFit="1" customWidth="1"/>
    <col min="2" max="2" width="16.6640625" bestFit="1" customWidth="1"/>
    <col min="3" max="7" width="15.88671875" bestFit="1" customWidth="1"/>
    <col min="8" max="22" width="14.6640625" bestFit="1" customWidth="1"/>
    <col min="23" max="23" width="16" bestFit="1" customWidth="1"/>
    <col min="24" max="24" width="10.6640625" bestFit="1" customWidth="1"/>
    <col min="25" max="25" width="12.88671875" bestFit="1" customWidth="1"/>
    <col min="26" max="26" width="9" bestFit="1" customWidth="1"/>
    <col min="27" max="27" width="10.6640625" bestFit="1" customWidth="1"/>
    <col min="28" max="28" width="8.33203125" bestFit="1" customWidth="1"/>
    <col min="29" max="29" width="9" bestFit="1" customWidth="1"/>
    <col min="30" max="30" width="10.6640625" bestFit="1" customWidth="1"/>
    <col min="31" max="31" width="8.33203125" bestFit="1" customWidth="1"/>
    <col min="32" max="32" width="9" bestFit="1" customWidth="1"/>
    <col min="33" max="33" width="10.6640625" bestFit="1" customWidth="1"/>
    <col min="34" max="34" width="8.33203125" bestFit="1" customWidth="1"/>
    <col min="35" max="35" width="9" bestFit="1" customWidth="1"/>
    <col min="36" max="36" width="10.6640625" bestFit="1" customWidth="1"/>
    <col min="37" max="37" width="8.33203125" bestFit="1" customWidth="1"/>
    <col min="38" max="38" width="9" bestFit="1" customWidth="1"/>
    <col min="39" max="39" width="10.6640625" bestFit="1" customWidth="1"/>
    <col min="40" max="40" width="8.33203125" bestFit="1" customWidth="1"/>
    <col min="41" max="41" width="9" bestFit="1" customWidth="1"/>
    <col min="42" max="42" width="10.6640625" bestFit="1" customWidth="1"/>
    <col min="43" max="43" width="8.33203125" bestFit="1" customWidth="1"/>
    <col min="44" max="44" width="9" bestFit="1" customWidth="1"/>
    <col min="45" max="45" width="10.6640625" bestFit="1" customWidth="1"/>
    <col min="46" max="46" width="8.33203125" bestFit="1" customWidth="1"/>
    <col min="47" max="47" width="9" bestFit="1" customWidth="1"/>
    <col min="48" max="48" width="10.6640625" bestFit="1" customWidth="1"/>
    <col min="49" max="49" width="8.33203125" bestFit="1" customWidth="1"/>
    <col min="50" max="50" width="9" bestFit="1" customWidth="1"/>
    <col min="51" max="51" width="10.6640625" bestFit="1" customWidth="1"/>
    <col min="52" max="52" width="8.33203125" bestFit="1" customWidth="1"/>
    <col min="53" max="53" width="9" bestFit="1" customWidth="1"/>
    <col min="54" max="54" width="10.6640625" bestFit="1" customWidth="1"/>
    <col min="55" max="55" width="8.33203125" bestFit="1" customWidth="1"/>
    <col min="56" max="56" width="9" bestFit="1" customWidth="1"/>
    <col min="57" max="57" width="10.6640625" bestFit="1" customWidth="1"/>
    <col min="58" max="58" width="8.33203125" bestFit="1" customWidth="1"/>
    <col min="59" max="59" width="9" bestFit="1" customWidth="1"/>
    <col min="60" max="60" width="10.6640625" bestFit="1" customWidth="1"/>
    <col min="61" max="61" width="8.33203125" bestFit="1" customWidth="1"/>
    <col min="62" max="62" width="9" bestFit="1" customWidth="1"/>
  </cols>
  <sheetData>
    <row r="1" spans="1:7" ht="15.6" x14ac:dyDescent="0.3">
      <c r="A1" s="126" t="s">
        <v>0</v>
      </c>
      <c r="B1" s="126"/>
      <c r="C1" s="126"/>
      <c r="D1" s="126"/>
      <c r="E1" s="126"/>
      <c r="F1" s="2" t="s">
        <v>1</v>
      </c>
      <c r="G1" s="2">
        <v>4.8688000000000002</v>
      </c>
    </row>
    <row r="2" spans="1:7" ht="15.6" x14ac:dyDescent="0.3">
      <c r="A2" s="126" t="s">
        <v>2</v>
      </c>
      <c r="B2" s="126"/>
      <c r="C2" s="1" t="s">
        <v>3</v>
      </c>
      <c r="D2" s="1" t="s">
        <v>4</v>
      </c>
      <c r="E2" s="1" t="s">
        <v>5</v>
      </c>
      <c r="G2" s="3"/>
    </row>
    <row r="3" spans="1:7" x14ac:dyDescent="0.3">
      <c r="A3" s="127" t="s">
        <v>6</v>
      </c>
      <c r="B3" s="128"/>
      <c r="C3" s="4">
        <v>0.30808412750575087</v>
      </c>
      <c r="D3" s="4">
        <v>0.61616825501150174</v>
      </c>
      <c r="E3" s="4">
        <v>0.92425238251725261</v>
      </c>
      <c r="G3" s="3"/>
    </row>
    <row r="4" spans="1:7" x14ac:dyDescent="0.3">
      <c r="A4" s="127" t="s">
        <v>7</v>
      </c>
      <c r="B4" s="128"/>
      <c r="C4" s="4">
        <v>0.10269470916858363</v>
      </c>
      <c r="D4" s="4">
        <v>0.14377259283601707</v>
      </c>
      <c r="E4" s="4">
        <v>7.188629641800854</v>
      </c>
      <c r="G4" s="3"/>
    </row>
    <row r="5" spans="1:7" x14ac:dyDescent="0.3">
      <c r="A5" s="129" t="s">
        <v>8</v>
      </c>
      <c r="B5" s="130"/>
      <c r="C5" s="4">
        <v>0.79535922697062567</v>
      </c>
      <c r="D5" s="4">
        <v>0.851982584309671</v>
      </c>
      <c r="E5" s="4">
        <v>0.91201829310061888</v>
      </c>
      <c r="G5" s="3"/>
    </row>
    <row r="6" spans="1:7" x14ac:dyDescent="0.3">
      <c r="A6" s="124" t="s">
        <v>9</v>
      </c>
      <c r="B6" s="125"/>
      <c r="C6" s="4">
        <v>0.25752535868583165</v>
      </c>
      <c r="D6" s="4">
        <v>0.2798002930222368</v>
      </c>
      <c r="E6" s="4">
        <v>0.29576944846159742</v>
      </c>
      <c r="G6" s="3"/>
    </row>
    <row r="7" spans="1:7" x14ac:dyDescent="0.3">
      <c r="A7" s="124" t="s">
        <v>10</v>
      </c>
      <c r="B7" s="125"/>
      <c r="C7" s="4">
        <v>0.35777189159550493</v>
      </c>
      <c r="D7" s="4">
        <v>0.42196624432882957</v>
      </c>
      <c r="E7" s="4">
        <v>0.48919537821636139</v>
      </c>
      <c r="G7" s="3"/>
    </row>
    <row r="8" spans="1:7" x14ac:dyDescent="0.3">
      <c r="A8" s="124" t="s">
        <v>11</v>
      </c>
      <c r="B8" s="125"/>
      <c r="C8" s="4">
        <v>0.88140132691327722</v>
      </c>
      <c r="D8" s="4">
        <v>1.1278874329061235</v>
      </c>
      <c r="E8" s="4">
        <v>1.373201761657358</v>
      </c>
      <c r="G8" s="3"/>
    </row>
    <row r="9" spans="1:7" x14ac:dyDescent="0.3">
      <c r="A9" s="124" t="s">
        <v>12</v>
      </c>
      <c r="B9" s="125"/>
      <c r="C9" s="4">
        <v>0.16326095674791483</v>
      </c>
      <c r="D9" s="4">
        <v>0.2268482749316803</v>
      </c>
      <c r="E9" s="4">
        <v>0.29372789887068124</v>
      </c>
      <c r="G9" s="3"/>
    </row>
    <row r="10" spans="1:7" x14ac:dyDescent="0.3">
      <c r="A10" s="124" t="s">
        <v>13</v>
      </c>
      <c r="B10" s="125"/>
      <c r="C10" s="7">
        <v>0.41077883667433451</v>
      </c>
      <c r="D10" s="4">
        <v>0.61616825501150174</v>
      </c>
      <c r="E10" s="4">
        <v>0.82155767334866903</v>
      </c>
      <c r="G10" s="3"/>
    </row>
    <row r="11" spans="1:7" x14ac:dyDescent="0.3">
      <c r="A11" s="5" t="s">
        <v>14</v>
      </c>
      <c r="B11" s="6"/>
      <c r="C11" s="7">
        <v>0.3043186548362361</v>
      </c>
      <c r="D11" s="4">
        <v>0.61616825501150174</v>
      </c>
      <c r="E11" s="4">
        <v>0.92425238251725261</v>
      </c>
      <c r="G11" s="3"/>
    </row>
    <row r="12" spans="1:7" x14ac:dyDescent="0.3">
      <c r="A12" s="124" t="s">
        <v>15</v>
      </c>
      <c r="B12" s="125"/>
      <c r="C12" s="7">
        <v>20.538941833716727</v>
      </c>
      <c r="D12" s="4">
        <v>26.700624383831745</v>
      </c>
      <c r="E12" s="4">
        <v>30.808412750575087</v>
      </c>
      <c r="G12" s="3"/>
    </row>
    <row r="13" spans="1:7" x14ac:dyDescent="0.3">
      <c r="A13" s="5" t="s">
        <v>16</v>
      </c>
      <c r="B13" s="6"/>
      <c r="C13" s="7">
        <v>0.10269470916858363</v>
      </c>
      <c r="D13" s="4">
        <v>0.30808412750575087</v>
      </c>
      <c r="E13" s="4">
        <v>0.41077883667433451</v>
      </c>
      <c r="G13" s="3"/>
    </row>
    <row r="14" spans="1:7" x14ac:dyDescent="0.3">
      <c r="A14" s="5" t="s">
        <v>17</v>
      </c>
      <c r="B14" s="6"/>
      <c r="C14" s="7">
        <v>61.994742030890563</v>
      </c>
      <c r="D14" s="4">
        <v>88.563917186986515</v>
      </c>
      <c r="E14" s="4">
        <v>106.27670062438382</v>
      </c>
      <c r="G14" s="3"/>
    </row>
    <row r="15" spans="1:7" x14ac:dyDescent="0.3">
      <c r="A15" s="5" t="s">
        <v>18</v>
      </c>
      <c r="B15" s="6"/>
      <c r="C15" s="7">
        <v>184.73627998685504</v>
      </c>
      <c r="D15" s="4">
        <v>263.90897140979291</v>
      </c>
      <c r="E15" s="4">
        <v>316.69076569175149</v>
      </c>
      <c r="G15" s="3"/>
    </row>
    <row r="16" spans="1:7" x14ac:dyDescent="0.3">
      <c r="A16" s="5" t="s">
        <v>19</v>
      </c>
      <c r="B16" s="6"/>
      <c r="C16" s="7">
        <v>103.33798882681563</v>
      </c>
      <c r="D16" s="4">
        <v>147.62569832402232</v>
      </c>
      <c r="E16" s="4">
        <v>177.15083798882679</v>
      </c>
      <c r="G16" s="3"/>
    </row>
    <row r="17" spans="1:62" x14ac:dyDescent="0.3">
      <c r="A17" s="5" t="s">
        <v>20</v>
      </c>
      <c r="B17" s="9"/>
      <c r="C17" s="7">
        <v>1.0269470916858363</v>
      </c>
      <c r="D17" s="4">
        <v>1.1008872822872167</v>
      </c>
      <c r="E17" s="4">
        <v>1.2323365100230035</v>
      </c>
      <c r="G17" s="3"/>
      <c r="S17" s="8">
        <f>S27*70%</f>
        <v>538.46153846153834</v>
      </c>
      <c r="T17" s="10">
        <f>S27</f>
        <v>769.23076923076917</v>
      </c>
      <c r="U17" s="8">
        <f>T17*120%</f>
        <v>923.07692307692298</v>
      </c>
    </row>
    <row r="19" spans="1:62" ht="15.6" x14ac:dyDescent="0.3">
      <c r="A19" s="132" t="s">
        <v>21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  <c r="AD19" s="132"/>
      <c r="AE19" s="132"/>
      <c r="AF19" s="132"/>
      <c r="AG19" s="132"/>
      <c r="AH19" s="132"/>
      <c r="AI19" s="132"/>
      <c r="AJ19" s="132"/>
      <c r="AK19" s="132"/>
      <c r="AL19" s="132"/>
      <c r="AM19" s="132"/>
      <c r="AN19" s="132"/>
      <c r="AO19" s="132"/>
      <c r="AP19" s="132"/>
      <c r="AQ19" s="132"/>
      <c r="AR19" s="132"/>
      <c r="AS19" s="132"/>
      <c r="AT19" s="132"/>
      <c r="AU19" s="132"/>
      <c r="AV19" s="132"/>
      <c r="AW19" s="132"/>
      <c r="AX19" s="132"/>
      <c r="AY19" s="132"/>
      <c r="AZ19" s="132"/>
      <c r="BA19" s="132"/>
      <c r="BB19" s="132"/>
      <c r="BC19" s="132"/>
      <c r="BD19" s="132"/>
      <c r="BE19" s="132"/>
      <c r="BF19" s="132"/>
      <c r="BG19" s="132"/>
      <c r="BH19" s="132"/>
      <c r="BI19" s="132"/>
      <c r="BJ19" s="132"/>
    </row>
    <row r="20" spans="1:62" ht="15.6" x14ac:dyDescent="0.3">
      <c r="A20" s="131" t="s">
        <v>2</v>
      </c>
      <c r="B20" s="131"/>
      <c r="C20" s="126" t="s">
        <v>22</v>
      </c>
      <c r="D20" s="126"/>
      <c r="E20" s="126"/>
      <c r="F20" s="126" t="s">
        <v>23</v>
      </c>
      <c r="G20" s="126"/>
      <c r="H20" s="126"/>
      <c r="I20" s="126" t="s">
        <v>24</v>
      </c>
      <c r="J20" s="126"/>
      <c r="K20" s="126"/>
      <c r="L20" s="126" t="s">
        <v>25</v>
      </c>
      <c r="M20" s="126"/>
      <c r="N20" s="126"/>
      <c r="O20" s="126" t="s">
        <v>26</v>
      </c>
      <c r="P20" s="126"/>
      <c r="Q20" s="126"/>
      <c r="R20" s="126" t="s">
        <v>27</v>
      </c>
      <c r="S20" s="126"/>
      <c r="T20" s="126"/>
      <c r="U20" s="126" t="s">
        <v>28</v>
      </c>
      <c r="V20" s="126"/>
      <c r="W20" s="126"/>
      <c r="X20" s="126" t="s">
        <v>29</v>
      </c>
      <c r="Y20" s="126"/>
      <c r="Z20" s="126"/>
      <c r="AA20" s="126" t="s">
        <v>30</v>
      </c>
      <c r="AB20" s="126"/>
      <c r="AC20" s="126"/>
      <c r="AD20" s="126" t="s">
        <v>31</v>
      </c>
      <c r="AE20" s="126"/>
      <c r="AF20" s="126"/>
      <c r="AG20" s="126" t="s">
        <v>32</v>
      </c>
      <c r="AH20" s="126"/>
      <c r="AI20" s="126"/>
      <c r="AJ20" s="126" t="s">
        <v>33</v>
      </c>
      <c r="AK20" s="126"/>
      <c r="AL20" s="126"/>
      <c r="AM20" s="126" t="s">
        <v>34</v>
      </c>
      <c r="AN20" s="126"/>
      <c r="AO20" s="126"/>
      <c r="AP20" s="126" t="s">
        <v>35</v>
      </c>
      <c r="AQ20" s="126"/>
      <c r="AR20" s="126"/>
      <c r="AS20" s="126" t="s">
        <v>36</v>
      </c>
      <c r="AT20" s="126"/>
      <c r="AU20" s="126"/>
      <c r="AV20" s="126" t="s">
        <v>37</v>
      </c>
      <c r="AW20" s="126"/>
      <c r="AX20" s="126"/>
      <c r="AY20" s="126" t="s">
        <v>38</v>
      </c>
      <c r="AZ20" s="126"/>
      <c r="BA20" s="126"/>
      <c r="BB20" s="126" t="s">
        <v>39</v>
      </c>
      <c r="BC20" s="126"/>
      <c r="BD20" s="126"/>
      <c r="BE20" s="126" t="s">
        <v>40</v>
      </c>
      <c r="BF20" s="126"/>
      <c r="BG20" s="126"/>
      <c r="BH20" s="126" t="s">
        <v>41</v>
      </c>
      <c r="BI20" s="126"/>
      <c r="BJ20" s="126"/>
    </row>
    <row r="21" spans="1:62" ht="15.6" x14ac:dyDescent="0.3">
      <c r="A21" s="131"/>
      <c r="B21" s="131"/>
      <c r="C21" s="1" t="s">
        <v>3</v>
      </c>
      <c r="D21" s="1" t="s">
        <v>4</v>
      </c>
      <c r="E21" s="1" t="s">
        <v>5</v>
      </c>
      <c r="F21" s="1" t="s">
        <v>3</v>
      </c>
      <c r="G21" s="1" t="s">
        <v>4</v>
      </c>
      <c r="H21" s="1" t="s">
        <v>5</v>
      </c>
      <c r="I21" s="1" t="s">
        <v>3</v>
      </c>
      <c r="J21" s="1" t="s">
        <v>4</v>
      </c>
      <c r="K21" s="1" t="s">
        <v>5</v>
      </c>
      <c r="L21" s="1" t="s">
        <v>3</v>
      </c>
      <c r="M21" s="1" t="s">
        <v>4</v>
      </c>
      <c r="N21" s="1" t="s">
        <v>5</v>
      </c>
      <c r="O21" s="1" t="s">
        <v>3</v>
      </c>
      <c r="P21" s="1" t="s">
        <v>4</v>
      </c>
      <c r="Q21" s="1" t="s">
        <v>5</v>
      </c>
      <c r="R21" s="1" t="s">
        <v>3</v>
      </c>
      <c r="S21" s="1" t="s">
        <v>4</v>
      </c>
      <c r="T21" s="1" t="s">
        <v>5</v>
      </c>
      <c r="U21" s="1" t="s">
        <v>3</v>
      </c>
      <c r="V21" s="1" t="s">
        <v>4</v>
      </c>
      <c r="W21" s="1" t="s">
        <v>5</v>
      </c>
      <c r="X21" s="1" t="s">
        <v>3</v>
      </c>
      <c r="Y21" s="1" t="s">
        <v>4</v>
      </c>
      <c r="Z21" s="1" t="s">
        <v>5</v>
      </c>
      <c r="AA21" s="1" t="s">
        <v>3</v>
      </c>
      <c r="AB21" s="1" t="s">
        <v>4</v>
      </c>
      <c r="AC21" s="1" t="s">
        <v>5</v>
      </c>
      <c r="AD21" s="1" t="s">
        <v>3</v>
      </c>
      <c r="AE21" s="1" t="s">
        <v>4</v>
      </c>
      <c r="AF21" s="1" t="s">
        <v>5</v>
      </c>
      <c r="AG21" s="1" t="s">
        <v>3</v>
      </c>
      <c r="AH21" s="1" t="s">
        <v>4</v>
      </c>
      <c r="AI21" s="1" t="s">
        <v>5</v>
      </c>
      <c r="AJ21" s="1" t="s">
        <v>3</v>
      </c>
      <c r="AK21" s="1" t="s">
        <v>4</v>
      </c>
      <c r="AL21" s="1" t="s">
        <v>5</v>
      </c>
      <c r="AM21" s="1" t="s">
        <v>3</v>
      </c>
      <c r="AN21" s="1" t="s">
        <v>4</v>
      </c>
      <c r="AO21" s="1" t="s">
        <v>5</v>
      </c>
      <c r="AP21" s="1" t="s">
        <v>3</v>
      </c>
      <c r="AQ21" s="1" t="s">
        <v>4</v>
      </c>
      <c r="AR21" s="1" t="s">
        <v>5</v>
      </c>
      <c r="AS21" s="1" t="s">
        <v>3</v>
      </c>
      <c r="AT21" s="1" t="s">
        <v>4</v>
      </c>
      <c r="AU21" s="1" t="s">
        <v>5</v>
      </c>
      <c r="AV21" s="1" t="s">
        <v>3</v>
      </c>
      <c r="AW21" s="1" t="s">
        <v>4</v>
      </c>
      <c r="AX21" s="1" t="s">
        <v>5</v>
      </c>
      <c r="AY21" s="1" t="s">
        <v>3</v>
      </c>
      <c r="AZ21" s="1" t="s">
        <v>4</v>
      </c>
      <c r="BA21" s="1" t="s">
        <v>5</v>
      </c>
      <c r="BB21" s="1" t="s">
        <v>3</v>
      </c>
      <c r="BC21" s="1" t="s">
        <v>4</v>
      </c>
      <c r="BD21" s="1" t="s">
        <v>5</v>
      </c>
      <c r="BE21" s="1" t="s">
        <v>3</v>
      </c>
      <c r="BF21" s="1" t="s">
        <v>4</v>
      </c>
      <c r="BG21" s="1" t="s">
        <v>5</v>
      </c>
      <c r="BH21" s="1" t="s">
        <v>3</v>
      </c>
      <c r="BI21" s="1" t="s">
        <v>4</v>
      </c>
      <c r="BJ21" s="1" t="s">
        <v>5</v>
      </c>
    </row>
    <row r="22" spans="1:62" x14ac:dyDescent="0.3">
      <c r="A22" s="127" t="s">
        <v>42</v>
      </c>
      <c r="B22" s="128"/>
      <c r="C22" s="11">
        <v>0</v>
      </c>
      <c r="D22" s="11">
        <v>0</v>
      </c>
      <c r="E22" s="11">
        <v>0</v>
      </c>
      <c r="F22" s="12">
        <v>91</v>
      </c>
      <c r="G22" s="12">
        <v>130</v>
      </c>
      <c r="H22" s="12">
        <v>156</v>
      </c>
      <c r="I22" s="12">
        <v>280</v>
      </c>
      <c r="J22" s="12">
        <v>400</v>
      </c>
      <c r="K22" s="12">
        <v>480</v>
      </c>
      <c r="L22" s="12">
        <v>420</v>
      </c>
      <c r="M22" s="13">
        <v>600</v>
      </c>
      <c r="N22" s="12">
        <v>720</v>
      </c>
      <c r="O22" s="12">
        <v>560</v>
      </c>
      <c r="P22" s="12">
        <v>800</v>
      </c>
      <c r="Q22" s="12">
        <v>960</v>
      </c>
      <c r="R22" s="12">
        <v>560</v>
      </c>
      <c r="S22" s="12">
        <v>800</v>
      </c>
      <c r="T22" s="12">
        <v>960</v>
      </c>
      <c r="U22" s="12">
        <v>560</v>
      </c>
      <c r="V22" s="12">
        <v>800</v>
      </c>
      <c r="W22" s="12">
        <v>960</v>
      </c>
      <c r="X22" s="12">
        <v>560</v>
      </c>
      <c r="Y22" s="12">
        <v>800</v>
      </c>
      <c r="Z22" s="12">
        <v>960</v>
      </c>
      <c r="AA22" s="12">
        <v>560</v>
      </c>
      <c r="AB22" s="12">
        <v>800</v>
      </c>
      <c r="AC22" s="12">
        <v>960</v>
      </c>
      <c r="AD22" s="12">
        <v>560</v>
      </c>
      <c r="AE22" s="12">
        <v>800</v>
      </c>
      <c r="AF22" s="12">
        <v>960</v>
      </c>
      <c r="AG22" s="11">
        <v>0</v>
      </c>
      <c r="AH22" s="11">
        <v>0</v>
      </c>
      <c r="AI22" s="11">
        <v>0</v>
      </c>
      <c r="AJ22" s="11">
        <v>0</v>
      </c>
      <c r="AK22" s="11">
        <v>0</v>
      </c>
      <c r="AL22" s="11">
        <v>0</v>
      </c>
      <c r="AM22" s="11">
        <v>0</v>
      </c>
      <c r="AN22" s="11">
        <v>0</v>
      </c>
      <c r="AO22" s="11">
        <v>0</v>
      </c>
      <c r="AP22" s="11">
        <v>0</v>
      </c>
      <c r="AQ22" s="11">
        <v>0</v>
      </c>
      <c r="AR22" s="11">
        <v>0</v>
      </c>
      <c r="AS22" s="11">
        <v>0</v>
      </c>
      <c r="AT22" s="11">
        <v>0</v>
      </c>
      <c r="AU22" s="11">
        <v>0</v>
      </c>
      <c r="AV22" s="11">
        <v>0</v>
      </c>
      <c r="AW22" s="11">
        <v>0</v>
      </c>
      <c r="AX22" s="11">
        <v>0</v>
      </c>
      <c r="AY22" s="11">
        <v>0</v>
      </c>
      <c r="AZ22" s="11">
        <v>0</v>
      </c>
      <c r="BA22" s="11">
        <v>0</v>
      </c>
      <c r="BB22" s="11">
        <v>0</v>
      </c>
      <c r="BC22" s="11">
        <v>0</v>
      </c>
      <c r="BD22" s="11">
        <v>0</v>
      </c>
      <c r="BE22" s="11">
        <v>0</v>
      </c>
      <c r="BF22" s="11">
        <v>0</v>
      </c>
      <c r="BG22" s="11">
        <v>0</v>
      </c>
      <c r="BH22" s="11">
        <v>0</v>
      </c>
      <c r="BI22" s="11">
        <v>0</v>
      </c>
      <c r="BJ22" s="11">
        <v>0</v>
      </c>
    </row>
    <row r="23" spans="1:62" x14ac:dyDescent="0.3">
      <c r="A23" s="127" t="s">
        <v>43</v>
      </c>
      <c r="B23" s="128"/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4">
        <v>0</v>
      </c>
      <c r="N23" s="11">
        <v>0</v>
      </c>
      <c r="O23" s="11">
        <v>0</v>
      </c>
      <c r="P23" s="11">
        <v>0</v>
      </c>
      <c r="Q23" s="11">
        <v>0</v>
      </c>
      <c r="R23" s="12">
        <v>35</v>
      </c>
      <c r="S23" s="12">
        <v>50</v>
      </c>
      <c r="T23" s="12">
        <v>60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2">
        <v>42</v>
      </c>
      <c r="AB23" s="12">
        <v>60</v>
      </c>
      <c r="AC23" s="12">
        <v>72</v>
      </c>
      <c r="AD23" s="12">
        <v>0</v>
      </c>
      <c r="AE23" s="11">
        <v>0</v>
      </c>
      <c r="AF23" s="11">
        <v>0</v>
      </c>
      <c r="AG23" s="11">
        <v>0</v>
      </c>
      <c r="AH23" s="11">
        <v>0</v>
      </c>
      <c r="AI23" s="11">
        <v>0</v>
      </c>
      <c r="AJ23" s="12">
        <v>42</v>
      </c>
      <c r="AK23" s="12">
        <v>60</v>
      </c>
      <c r="AL23" s="12">
        <v>72</v>
      </c>
      <c r="AM23" s="11">
        <v>0</v>
      </c>
      <c r="AN23" s="11">
        <v>0</v>
      </c>
      <c r="AO23" s="11">
        <v>0</v>
      </c>
      <c r="AP23" s="11">
        <v>0</v>
      </c>
      <c r="AQ23" s="11">
        <v>0</v>
      </c>
      <c r="AR23" s="11">
        <v>0</v>
      </c>
      <c r="AS23" s="12">
        <v>42</v>
      </c>
      <c r="AT23" s="12">
        <v>60</v>
      </c>
      <c r="AU23" s="12">
        <v>72</v>
      </c>
      <c r="AV23" s="11">
        <v>0</v>
      </c>
      <c r="AW23" s="11">
        <v>0</v>
      </c>
      <c r="AX23" s="11">
        <v>0</v>
      </c>
      <c r="AY23" s="11">
        <v>0</v>
      </c>
      <c r="AZ23" s="11">
        <v>0</v>
      </c>
      <c r="BA23" s="11">
        <v>0</v>
      </c>
      <c r="BB23" s="12">
        <v>42</v>
      </c>
      <c r="BC23" s="12">
        <v>60</v>
      </c>
      <c r="BD23" s="12">
        <v>72</v>
      </c>
      <c r="BE23" s="11">
        <v>0</v>
      </c>
      <c r="BF23" s="11">
        <v>0</v>
      </c>
      <c r="BG23" s="11">
        <v>0</v>
      </c>
      <c r="BH23" s="11">
        <v>0</v>
      </c>
      <c r="BI23" s="11">
        <v>0</v>
      </c>
      <c r="BJ23" s="11">
        <v>0</v>
      </c>
    </row>
    <row r="24" spans="1:62" x14ac:dyDescent="0.3">
      <c r="A24" s="129" t="s">
        <v>44</v>
      </c>
      <c r="B24" s="130"/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2">
        <v>770</v>
      </c>
      <c r="J24" s="12">
        <v>1100</v>
      </c>
      <c r="K24" s="12">
        <v>1320</v>
      </c>
      <c r="L24" s="12">
        <v>1260</v>
      </c>
      <c r="M24" s="13">
        <v>1800</v>
      </c>
      <c r="N24" s="12">
        <v>2160</v>
      </c>
      <c r="O24" s="12">
        <v>2100</v>
      </c>
      <c r="P24" s="12">
        <v>3000</v>
      </c>
      <c r="Q24" s="12">
        <v>3600</v>
      </c>
      <c r="R24" s="12">
        <v>2100</v>
      </c>
      <c r="S24" s="12">
        <v>3000</v>
      </c>
      <c r="T24" s="12">
        <v>3600</v>
      </c>
      <c r="U24" s="12">
        <v>2100</v>
      </c>
      <c r="V24" s="12">
        <v>3000</v>
      </c>
      <c r="W24" s="12">
        <v>3600</v>
      </c>
      <c r="X24" s="12">
        <v>2100</v>
      </c>
      <c r="Y24" s="12">
        <v>3000</v>
      </c>
      <c r="Z24" s="12">
        <v>3600</v>
      </c>
      <c r="AA24" s="12">
        <v>2100</v>
      </c>
      <c r="AB24" s="12">
        <v>3000</v>
      </c>
      <c r="AC24" s="12">
        <v>3600</v>
      </c>
      <c r="AD24" s="12">
        <v>2100</v>
      </c>
      <c r="AE24" s="12">
        <v>3000</v>
      </c>
      <c r="AF24" s="12">
        <v>3600</v>
      </c>
      <c r="AG24" s="12">
        <v>2100</v>
      </c>
      <c r="AH24" s="12">
        <v>3000</v>
      </c>
      <c r="AI24" s="12">
        <v>3600</v>
      </c>
      <c r="AJ24" s="12">
        <v>2100</v>
      </c>
      <c r="AK24" s="12">
        <v>3000</v>
      </c>
      <c r="AL24" s="12">
        <v>3600</v>
      </c>
      <c r="AM24" s="12">
        <v>2100</v>
      </c>
      <c r="AN24" s="12">
        <v>3000</v>
      </c>
      <c r="AO24" s="12">
        <v>3600</v>
      </c>
      <c r="AP24" s="12">
        <v>2100</v>
      </c>
      <c r="AQ24" s="12">
        <v>3000</v>
      </c>
      <c r="AR24" s="12">
        <v>3600</v>
      </c>
      <c r="AS24" s="12">
        <v>2100</v>
      </c>
      <c r="AT24" s="12">
        <v>3000</v>
      </c>
      <c r="AU24" s="12">
        <v>3600</v>
      </c>
      <c r="AV24" s="12">
        <v>2100</v>
      </c>
      <c r="AW24" s="12">
        <v>3000</v>
      </c>
      <c r="AX24" s="12">
        <v>3600</v>
      </c>
      <c r="AY24" s="12">
        <v>2100</v>
      </c>
      <c r="AZ24" s="12">
        <v>3000</v>
      </c>
      <c r="BA24" s="12">
        <v>3600</v>
      </c>
      <c r="BB24" s="12">
        <v>2100</v>
      </c>
      <c r="BC24" s="12">
        <v>3000</v>
      </c>
      <c r="BD24" s="12">
        <v>3600</v>
      </c>
      <c r="BE24" s="12">
        <v>2100</v>
      </c>
      <c r="BF24" s="12">
        <v>3000</v>
      </c>
      <c r="BG24" s="12">
        <v>3600</v>
      </c>
      <c r="BH24" s="12">
        <v>2100</v>
      </c>
      <c r="BI24" s="12">
        <v>3000</v>
      </c>
      <c r="BJ24" s="12">
        <v>3600</v>
      </c>
    </row>
    <row r="25" spans="1:62" x14ac:dyDescent="0.3">
      <c r="A25" s="124" t="s">
        <v>45</v>
      </c>
      <c r="B25" s="125"/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2">
        <v>143</v>
      </c>
      <c r="M25" s="13">
        <v>204</v>
      </c>
      <c r="N25" s="12">
        <v>245</v>
      </c>
      <c r="O25" s="12">
        <v>343</v>
      </c>
      <c r="P25" s="12">
        <v>489.59999999999991</v>
      </c>
      <c r="Q25" s="12">
        <v>588</v>
      </c>
      <c r="R25" s="12">
        <v>628</v>
      </c>
      <c r="S25" s="12">
        <v>897.6</v>
      </c>
      <c r="T25" s="12">
        <v>1077</v>
      </c>
      <c r="U25" s="12">
        <v>771</v>
      </c>
      <c r="V25" s="12">
        <v>1101.5999999999999</v>
      </c>
      <c r="W25" s="12">
        <v>1322</v>
      </c>
      <c r="X25" s="12">
        <v>914</v>
      </c>
      <c r="Y25" s="12">
        <v>1305.5999999999999</v>
      </c>
      <c r="Z25" s="12">
        <v>1567</v>
      </c>
      <c r="AA25" s="12">
        <v>771</v>
      </c>
      <c r="AB25" s="12">
        <v>1101.5999999999999</v>
      </c>
      <c r="AC25" s="12">
        <v>1322</v>
      </c>
      <c r="AD25" s="12">
        <v>771</v>
      </c>
      <c r="AE25" s="12">
        <v>1101.5999999999999</v>
      </c>
      <c r="AF25" s="12">
        <v>1322</v>
      </c>
      <c r="AG25" s="12">
        <v>771</v>
      </c>
      <c r="AH25" s="12">
        <v>1101.5999999999999</v>
      </c>
      <c r="AI25" s="12">
        <v>1322</v>
      </c>
      <c r="AJ25" s="12">
        <v>771</v>
      </c>
      <c r="AK25" s="12">
        <v>1101.5999999999999</v>
      </c>
      <c r="AL25" s="12">
        <v>1322</v>
      </c>
      <c r="AM25" s="12">
        <v>771</v>
      </c>
      <c r="AN25" s="12">
        <v>1101.5999999999999</v>
      </c>
      <c r="AO25" s="12">
        <v>1322</v>
      </c>
      <c r="AP25" s="12">
        <v>771</v>
      </c>
      <c r="AQ25" s="12">
        <v>1101.5999999999999</v>
      </c>
      <c r="AR25" s="12">
        <v>1322</v>
      </c>
      <c r="AS25" s="12">
        <v>771</v>
      </c>
      <c r="AT25" s="12">
        <v>1101.5999999999999</v>
      </c>
      <c r="AU25" s="12">
        <v>1322</v>
      </c>
      <c r="AV25" s="12">
        <v>771</v>
      </c>
      <c r="AW25" s="12">
        <v>1101.5999999999999</v>
      </c>
      <c r="AX25" s="12">
        <v>1322</v>
      </c>
      <c r="AY25" s="12">
        <v>771</v>
      </c>
      <c r="AZ25" s="12">
        <v>1101.5999999999999</v>
      </c>
      <c r="BA25" s="12">
        <v>1322</v>
      </c>
      <c r="BB25" s="12">
        <v>771</v>
      </c>
      <c r="BC25" s="12">
        <v>1101.5999999999999</v>
      </c>
      <c r="BD25" s="12">
        <v>1322</v>
      </c>
      <c r="BE25" s="12">
        <v>771</v>
      </c>
      <c r="BF25" s="12">
        <v>1101.5999999999999</v>
      </c>
      <c r="BG25" s="12">
        <v>1322</v>
      </c>
      <c r="BH25" s="12">
        <v>771</v>
      </c>
      <c r="BI25" s="12">
        <v>1101.5999999999999</v>
      </c>
      <c r="BJ25" s="12">
        <v>1322</v>
      </c>
    </row>
    <row r="26" spans="1:62" x14ac:dyDescent="0.3">
      <c r="A26" s="124" t="s">
        <v>46</v>
      </c>
      <c r="B26" s="125"/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2">
        <v>71</v>
      </c>
      <c r="J26" s="12">
        <v>102</v>
      </c>
      <c r="K26" s="12">
        <v>122</v>
      </c>
      <c r="L26" s="12">
        <v>143</v>
      </c>
      <c r="M26" s="13">
        <v>204</v>
      </c>
      <c r="N26" s="12">
        <v>244</v>
      </c>
      <c r="O26" s="12">
        <v>286</v>
      </c>
      <c r="P26" s="12">
        <v>408</v>
      </c>
      <c r="Q26" s="12">
        <v>489</v>
      </c>
      <c r="R26" s="12">
        <v>428</v>
      </c>
      <c r="S26" s="12">
        <v>612</v>
      </c>
      <c r="T26" s="12">
        <v>734</v>
      </c>
      <c r="U26" s="12">
        <v>571</v>
      </c>
      <c r="V26" s="12">
        <v>816</v>
      </c>
      <c r="W26" s="12">
        <v>979</v>
      </c>
      <c r="X26" s="12">
        <v>714</v>
      </c>
      <c r="Y26" s="12">
        <v>1020</v>
      </c>
      <c r="Z26" s="12">
        <v>1224</v>
      </c>
      <c r="AA26" s="12">
        <v>571</v>
      </c>
      <c r="AB26" s="12">
        <v>816</v>
      </c>
      <c r="AC26" s="12">
        <v>979</v>
      </c>
      <c r="AD26" s="12">
        <v>571</v>
      </c>
      <c r="AE26" s="12">
        <v>816</v>
      </c>
      <c r="AF26" s="12">
        <v>979</v>
      </c>
      <c r="AG26" s="12">
        <v>571</v>
      </c>
      <c r="AH26" s="12">
        <v>816</v>
      </c>
      <c r="AI26" s="12">
        <v>979</v>
      </c>
      <c r="AJ26" s="12">
        <v>571</v>
      </c>
      <c r="AK26" s="12">
        <v>816</v>
      </c>
      <c r="AL26" s="12">
        <v>979</v>
      </c>
      <c r="AM26" s="11"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v>0</v>
      </c>
      <c r="AS26" s="11"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v>0</v>
      </c>
      <c r="AY26" s="11">
        <v>0</v>
      </c>
      <c r="AZ26" s="11">
        <v>0</v>
      </c>
      <c r="BA26" s="11">
        <v>0</v>
      </c>
      <c r="BB26" s="11">
        <v>0</v>
      </c>
      <c r="BC26" s="11">
        <v>0</v>
      </c>
      <c r="BD26" s="11">
        <v>0</v>
      </c>
      <c r="BE26" s="11">
        <v>0</v>
      </c>
      <c r="BF26" s="11">
        <v>0</v>
      </c>
      <c r="BG26" s="11">
        <v>0</v>
      </c>
      <c r="BH26" s="11">
        <v>0</v>
      </c>
      <c r="BI26" s="11">
        <v>0</v>
      </c>
      <c r="BJ26" s="11">
        <v>0</v>
      </c>
    </row>
    <row r="27" spans="1:62" x14ac:dyDescent="0.3">
      <c r="A27" s="124" t="s">
        <v>47</v>
      </c>
      <c r="B27" s="125"/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2">
        <v>269.23076923076917</v>
      </c>
      <c r="M27" s="13">
        <v>384.61538461538458</v>
      </c>
      <c r="N27" s="12">
        <v>461.53846153846149</v>
      </c>
      <c r="O27" s="12">
        <v>403.84615384615381</v>
      </c>
      <c r="P27" s="12">
        <v>576.92307692307691</v>
      </c>
      <c r="Q27" s="12">
        <v>692.30769230769226</v>
      </c>
      <c r="R27" s="12">
        <v>538.29999999999995</v>
      </c>
      <c r="S27" s="12">
        <v>769.23076923076917</v>
      </c>
      <c r="T27" s="12">
        <v>922.8</v>
      </c>
      <c r="U27" s="12">
        <v>538.29999999999995</v>
      </c>
      <c r="V27" s="12">
        <v>769.23076923076917</v>
      </c>
      <c r="W27" s="12">
        <v>922.8</v>
      </c>
      <c r="X27" s="12">
        <v>538.29999999999995</v>
      </c>
      <c r="Y27" s="12">
        <v>769.23076923076917</v>
      </c>
      <c r="Z27" s="12">
        <v>922.8</v>
      </c>
      <c r="AA27" s="12">
        <v>538.29999999999995</v>
      </c>
      <c r="AB27" s="12">
        <v>769.23076923076917</v>
      </c>
      <c r="AC27" s="12">
        <v>922.8</v>
      </c>
      <c r="AD27" s="12">
        <v>538.29999999999995</v>
      </c>
      <c r="AE27" s="12">
        <v>769.23076923076917</v>
      </c>
      <c r="AF27" s="12">
        <v>922.8</v>
      </c>
      <c r="AG27" s="12">
        <v>538.29999999999995</v>
      </c>
      <c r="AH27" s="12">
        <v>769.23076923076917</v>
      </c>
      <c r="AI27" s="12">
        <v>922.8</v>
      </c>
      <c r="AJ27" s="12">
        <v>538.29999999999995</v>
      </c>
      <c r="AK27" s="12">
        <v>769.23076923076917</v>
      </c>
      <c r="AL27" s="12">
        <v>922.8</v>
      </c>
      <c r="AM27" s="12">
        <v>538.29999999999995</v>
      </c>
      <c r="AN27" s="12">
        <v>769.23076923076917</v>
      </c>
      <c r="AO27" s="12">
        <v>922.8</v>
      </c>
      <c r="AP27" s="12">
        <v>538.29999999999995</v>
      </c>
      <c r="AQ27" s="12">
        <v>769.23076923076917</v>
      </c>
      <c r="AR27" s="12">
        <v>922.8</v>
      </c>
      <c r="AS27" s="12">
        <v>538.29999999999995</v>
      </c>
      <c r="AT27" s="12">
        <v>769.23076923076917</v>
      </c>
      <c r="AU27" s="12">
        <v>922.8</v>
      </c>
      <c r="AV27" s="12">
        <v>538.29999999999995</v>
      </c>
      <c r="AW27" s="12">
        <v>769.23076923076917</v>
      </c>
      <c r="AX27" s="12">
        <v>922.8</v>
      </c>
      <c r="AY27" s="12">
        <v>538.29999999999995</v>
      </c>
      <c r="AZ27" s="12">
        <v>769.23076923076917</v>
      </c>
      <c r="BA27" s="12">
        <v>922.8</v>
      </c>
      <c r="BB27" s="12">
        <v>538.29999999999995</v>
      </c>
      <c r="BC27" s="12">
        <v>769.23076923076917</v>
      </c>
      <c r="BD27" s="12">
        <v>922.8</v>
      </c>
      <c r="BE27" s="12">
        <v>538.29999999999995</v>
      </c>
      <c r="BF27" s="12">
        <v>769.23076923076917</v>
      </c>
      <c r="BG27" s="12">
        <v>922.8</v>
      </c>
      <c r="BH27" s="12">
        <v>538.29999999999995</v>
      </c>
      <c r="BI27" s="12">
        <v>769.23076923076917</v>
      </c>
      <c r="BJ27" s="12">
        <v>922.8</v>
      </c>
    </row>
    <row r="28" spans="1:62" x14ac:dyDescent="0.3">
      <c r="A28" s="124" t="s">
        <v>48</v>
      </c>
      <c r="B28" s="125"/>
      <c r="C28" s="12">
        <v>127007.99999999999</v>
      </c>
      <c r="D28" s="12">
        <v>181440</v>
      </c>
      <c r="E28" s="12">
        <v>217728</v>
      </c>
      <c r="F28" s="12">
        <v>84672</v>
      </c>
      <c r="G28" s="12">
        <v>120960</v>
      </c>
      <c r="H28" s="12">
        <v>145152</v>
      </c>
      <c r="I28" s="12">
        <v>56448</v>
      </c>
      <c r="J28" s="12">
        <v>80640</v>
      </c>
      <c r="K28" s="12">
        <v>96768</v>
      </c>
      <c r="L28" s="12">
        <v>42336</v>
      </c>
      <c r="M28" s="13">
        <v>60480</v>
      </c>
      <c r="N28" s="12">
        <v>72576</v>
      </c>
      <c r="O28" s="12">
        <v>35280</v>
      </c>
      <c r="P28" s="12">
        <v>50400</v>
      </c>
      <c r="Q28" s="12">
        <v>60480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0</v>
      </c>
      <c r="AF28" s="11">
        <v>0</v>
      </c>
      <c r="AG28" s="11">
        <v>0</v>
      </c>
      <c r="AH28" s="11">
        <v>0</v>
      </c>
      <c r="AI28" s="11">
        <v>0</v>
      </c>
      <c r="AJ28" s="11">
        <v>0</v>
      </c>
      <c r="AK28" s="11">
        <v>0</v>
      </c>
      <c r="AL28" s="11">
        <v>0</v>
      </c>
      <c r="AM28" s="11">
        <v>0</v>
      </c>
      <c r="AN28" s="11">
        <v>0</v>
      </c>
      <c r="AO28" s="11">
        <v>0</v>
      </c>
      <c r="AP28" s="11">
        <v>0</v>
      </c>
      <c r="AQ28" s="11">
        <v>0</v>
      </c>
      <c r="AR28" s="11">
        <v>0</v>
      </c>
      <c r="AS28" s="11">
        <v>0</v>
      </c>
      <c r="AT28" s="11">
        <v>0</v>
      </c>
      <c r="AU28" s="11">
        <v>0</v>
      </c>
      <c r="AV28" s="11">
        <v>0</v>
      </c>
      <c r="AW28" s="11">
        <v>0</v>
      </c>
      <c r="AX28" s="11">
        <v>0</v>
      </c>
      <c r="AY28" s="11">
        <v>0</v>
      </c>
      <c r="AZ28" s="11">
        <v>0</v>
      </c>
      <c r="BA28" s="11">
        <v>0</v>
      </c>
      <c r="BB28" s="11">
        <v>0</v>
      </c>
      <c r="BC28" s="11">
        <v>0</v>
      </c>
      <c r="BD28" s="11">
        <v>0</v>
      </c>
      <c r="BE28" s="11">
        <v>0</v>
      </c>
      <c r="BF28" s="11">
        <v>0</v>
      </c>
      <c r="BG28" s="11">
        <v>0</v>
      </c>
      <c r="BH28" s="11">
        <v>0</v>
      </c>
      <c r="BI28" s="11">
        <v>0</v>
      </c>
      <c r="BJ28" s="11">
        <v>0</v>
      </c>
    </row>
    <row r="29" spans="1:62" x14ac:dyDescent="0.3">
      <c r="A29" s="124" t="s">
        <v>49</v>
      </c>
      <c r="B29" s="125"/>
      <c r="C29" s="12">
        <v>39690</v>
      </c>
      <c r="D29" s="12">
        <v>56700</v>
      </c>
      <c r="E29" s="12">
        <v>68040</v>
      </c>
      <c r="F29" s="12">
        <v>26460</v>
      </c>
      <c r="G29" s="12">
        <v>37800</v>
      </c>
      <c r="H29" s="12">
        <v>45360</v>
      </c>
      <c r="I29" s="12">
        <v>17640</v>
      </c>
      <c r="J29" s="12">
        <v>25200</v>
      </c>
      <c r="K29" s="12">
        <v>30240</v>
      </c>
      <c r="L29" s="12">
        <v>13230</v>
      </c>
      <c r="M29" s="13">
        <v>18900</v>
      </c>
      <c r="N29" s="12">
        <v>22680</v>
      </c>
      <c r="O29" s="12">
        <v>11025</v>
      </c>
      <c r="P29" s="12">
        <v>15750</v>
      </c>
      <c r="Q29" s="12">
        <v>18900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11">
        <v>0</v>
      </c>
      <c r="AC29" s="11">
        <v>0</v>
      </c>
      <c r="AD29" s="11">
        <v>0</v>
      </c>
      <c r="AE29" s="11">
        <v>0</v>
      </c>
      <c r="AF29" s="11">
        <v>0</v>
      </c>
      <c r="AG29" s="11">
        <v>0</v>
      </c>
      <c r="AH29" s="11">
        <v>0</v>
      </c>
      <c r="AI29" s="11">
        <v>0</v>
      </c>
      <c r="AJ29" s="11">
        <v>0</v>
      </c>
      <c r="AK29" s="11">
        <v>0</v>
      </c>
      <c r="AL29" s="11">
        <v>0</v>
      </c>
      <c r="AM29" s="11">
        <v>0</v>
      </c>
      <c r="AN29" s="11">
        <v>0</v>
      </c>
      <c r="AO29" s="11">
        <v>0</v>
      </c>
      <c r="AP29" s="11">
        <v>0</v>
      </c>
      <c r="AQ29" s="11">
        <v>0</v>
      </c>
      <c r="AR29" s="11">
        <v>0</v>
      </c>
      <c r="AS29" s="11">
        <v>0</v>
      </c>
      <c r="AT29" s="11">
        <v>0</v>
      </c>
      <c r="AU29" s="11">
        <v>0</v>
      </c>
      <c r="AV29" s="11">
        <v>0</v>
      </c>
      <c r="AW29" s="11">
        <v>0</v>
      </c>
      <c r="AX29" s="11">
        <v>0</v>
      </c>
      <c r="AY29" s="11">
        <v>0</v>
      </c>
      <c r="AZ29" s="11">
        <v>0</v>
      </c>
      <c r="BA29" s="11">
        <v>0</v>
      </c>
      <c r="BB29" s="11">
        <v>0</v>
      </c>
      <c r="BC29" s="11">
        <v>0</v>
      </c>
      <c r="BD29" s="11">
        <v>0</v>
      </c>
      <c r="BE29" s="11">
        <v>0</v>
      </c>
      <c r="BF29" s="11">
        <v>0</v>
      </c>
      <c r="BG29" s="11">
        <v>0</v>
      </c>
      <c r="BH29" s="11">
        <v>0</v>
      </c>
      <c r="BI29" s="11">
        <v>0</v>
      </c>
      <c r="BJ29" s="11">
        <v>0</v>
      </c>
    </row>
    <row r="30" spans="1:62" x14ac:dyDescent="0.3">
      <c r="A30" s="5" t="s">
        <v>50</v>
      </c>
      <c r="B30" s="6"/>
      <c r="C30" s="12">
        <v>12600</v>
      </c>
      <c r="D30" s="12">
        <v>18000</v>
      </c>
      <c r="E30" s="12">
        <v>21600</v>
      </c>
      <c r="F30" s="12">
        <v>10080</v>
      </c>
      <c r="G30" s="12">
        <v>14400</v>
      </c>
      <c r="H30" s="12">
        <v>17280</v>
      </c>
      <c r="I30" s="12">
        <v>6720</v>
      </c>
      <c r="J30" s="12">
        <v>9600</v>
      </c>
      <c r="K30" s="12">
        <v>11520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1">
        <v>0</v>
      </c>
      <c r="AG30" s="11">
        <v>0</v>
      </c>
      <c r="AH30" s="11">
        <v>0</v>
      </c>
      <c r="AI30" s="11">
        <v>0</v>
      </c>
      <c r="AJ30" s="11">
        <v>0</v>
      </c>
      <c r="AK30" s="11">
        <v>0</v>
      </c>
      <c r="AL30" s="11">
        <v>0</v>
      </c>
      <c r="AM30" s="11">
        <v>0</v>
      </c>
      <c r="AN30" s="11">
        <v>0</v>
      </c>
      <c r="AO30" s="11">
        <v>0</v>
      </c>
      <c r="AP30" s="11">
        <v>0</v>
      </c>
      <c r="AQ30" s="11">
        <v>0</v>
      </c>
      <c r="AR30" s="11">
        <v>0</v>
      </c>
      <c r="AS30" s="11">
        <v>0</v>
      </c>
      <c r="AT30" s="11">
        <v>0</v>
      </c>
      <c r="AU30" s="11">
        <v>0</v>
      </c>
      <c r="AV30" s="11">
        <v>0</v>
      </c>
      <c r="AW30" s="11">
        <v>0</v>
      </c>
      <c r="AX30" s="11">
        <v>0</v>
      </c>
      <c r="AY30" s="11">
        <v>0</v>
      </c>
      <c r="AZ30" s="11">
        <v>0</v>
      </c>
      <c r="BA30" s="11">
        <v>0</v>
      </c>
      <c r="BB30" s="11">
        <v>0</v>
      </c>
      <c r="BC30" s="11">
        <v>0</v>
      </c>
      <c r="BD30" s="11">
        <v>0</v>
      </c>
      <c r="BE30" s="11">
        <v>0</v>
      </c>
      <c r="BF30" s="11">
        <v>0</v>
      </c>
      <c r="BG30" s="11">
        <v>0</v>
      </c>
      <c r="BH30" s="11">
        <v>0</v>
      </c>
      <c r="BI30" s="11">
        <v>0</v>
      </c>
      <c r="BJ30" s="11">
        <v>0</v>
      </c>
    </row>
    <row r="31" spans="1:62" x14ac:dyDescent="0.3">
      <c r="A31" s="124" t="s">
        <v>51</v>
      </c>
      <c r="B31" s="125"/>
      <c r="C31" s="12">
        <v>2898</v>
      </c>
      <c r="D31" s="12">
        <v>4140</v>
      </c>
      <c r="E31" s="12">
        <v>4968</v>
      </c>
      <c r="F31" s="12">
        <v>2352</v>
      </c>
      <c r="G31" s="12">
        <v>3360</v>
      </c>
      <c r="H31" s="12">
        <v>4032</v>
      </c>
      <c r="I31" s="12">
        <v>1680</v>
      </c>
      <c r="J31" s="12">
        <v>2400</v>
      </c>
      <c r="K31" s="12">
        <v>2880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11">
        <v>0</v>
      </c>
      <c r="AC31" s="11">
        <v>0</v>
      </c>
      <c r="AD31" s="11">
        <v>0</v>
      </c>
      <c r="AE31" s="11">
        <v>0</v>
      </c>
      <c r="AF31" s="11">
        <v>0</v>
      </c>
      <c r="AG31" s="11">
        <v>0</v>
      </c>
      <c r="AH31" s="11">
        <v>0</v>
      </c>
      <c r="AI31" s="11">
        <v>0</v>
      </c>
      <c r="AJ31" s="11">
        <v>0</v>
      </c>
      <c r="AK31" s="11">
        <v>0</v>
      </c>
      <c r="AL31" s="11">
        <v>0</v>
      </c>
      <c r="AM31" s="11"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v>0</v>
      </c>
      <c r="AS31" s="11">
        <v>0</v>
      </c>
      <c r="AT31" s="11">
        <v>0</v>
      </c>
      <c r="AU31" s="11">
        <v>0</v>
      </c>
      <c r="AV31" s="11">
        <v>0</v>
      </c>
      <c r="AW31" s="11">
        <v>0</v>
      </c>
      <c r="AX31" s="11">
        <v>0</v>
      </c>
      <c r="AY31" s="11">
        <v>0</v>
      </c>
      <c r="AZ31" s="11">
        <v>0</v>
      </c>
      <c r="BA31" s="11">
        <v>0</v>
      </c>
      <c r="BB31" s="11">
        <v>0</v>
      </c>
      <c r="BC31" s="11">
        <v>0</v>
      </c>
      <c r="BD31" s="11">
        <v>0</v>
      </c>
      <c r="BE31" s="11">
        <v>0</v>
      </c>
      <c r="BF31" s="11">
        <v>0</v>
      </c>
      <c r="BG31" s="11">
        <v>0</v>
      </c>
      <c r="BH31" s="11">
        <v>0</v>
      </c>
      <c r="BI31" s="11">
        <v>0</v>
      </c>
      <c r="BJ31" s="11">
        <v>0</v>
      </c>
    </row>
    <row r="32" spans="1:62" x14ac:dyDescent="0.3">
      <c r="A32" s="5" t="s">
        <v>52</v>
      </c>
      <c r="B32" s="6"/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2">
        <v>1120</v>
      </c>
      <c r="J32" s="12">
        <v>1600</v>
      </c>
      <c r="K32" s="12">
        <v>1920</v>
      </c>
      <c r="L32" s="12">
        <v>1400</v>
      </c>
      <c r="M32" s="12">
        <v>2000</v>
      </c>
      <c r="N32" s="12">
        <v>2400</v>
      </c>
      <c r="O32" s="12">
        <v>1400</v>
      </c>
      <c r="P32" s="12">
        <v>2000</v>
      </c>
      <c r="Q32" s="12">
        <v>2400</v>
      </c>
      <c r="R32" s="12">
        <v>1400</v>
      </c>
      <c r="S32" s="12">
        <v>2000</v>
      </c>
      <c r="T32" s="12">
        <v>2400</v>
      </c>
      <c r="U32" s="12">
        <v>1400</v>
      </c>
      <c r="V32" s="12">
        <v>2000</v>
      </c>
      <c r="W32" s="12">
        <v>2400</v>
      </c>
      <c r="X32" s="12">
        <v>1400</v>
      </c>
      <c r="Y32" s="12">
        <v>2000</v>
      </c>
      <c r="Z32" s="12">
        <v>2400</v>
      </c>
      <c r="AA32" s="12">
        <v>1400</v>
      </c>
      <c r="AB32" s="12">
        <v>2000</v>
      </c>
      <c r="AC32" s="12">
        <v>2400</v>
      </c>
      <c r="AD32" s="12">
        <v>1400</v>
      </c>
      <c r="AE32" s="12">
        <v>2000</v>
      </c>
      <c r="AF32" s="12">
        <v>2400</v>
      </c>
      <c r="AG32" s="12">
        <v>1400</v>
      </c>
      <c r="AH32" s="12">
        <v>2000</v>
      </c>
      <c r="AI32" s="12">
        <v>2400</v>
      </c>
      <c r="AJ32" s="12">
        <v>1400</v>
      </c>
      <c r="AK32" s="12">
        <v>2000</v>
      </c>
      <c r="AL32" s="12">
        <v>2400</v>
      </c>
      <c r="AM32" s="12">
        <v>1400</v>
      </c>
      <c r="AN32" s="12">
        <v>2000</v>
      </c>
      <c r="AO32" s="12">
        <v>2400</v>
      </c>
      <c r="AP32" s="12">
        <v>1400</v>
      </c>
      <c r="AQ32" s="12">
        <v>2000</v>
      </c>
      <c r="AR32" s="12">
        <v>2400</v>
      </c>
      <c r="AS32" s="12">
        <v>1400</v>
      </c>
      <c r="AT32" s="12">
        <v>2000</v>
      </c>
      <c r="AU32" s="12">
        <v>2400</v>
      </c>
      <c r="AV32" s="12">
        <v>1400</v>
      </c>
      <c r="AW32" s="12">
        <v>2000</v>
      </c>
      <c r="AX32" s="12">
        <v>2400</v>
      </c>
      <c r="AY32" s="12">
        <v>1400</v>
      </c>
      <c r="AZ32" s="12">
        <v>2000</v>
      </c>
      <c r="BA32" s="12">
        <v>2400</v>
      </c>
      <c r="BB32" s="12">
        <v>1400</v>
      </c>
      <c r="BC32" s="12">
        <v>2000</v>
      </c>
      <c r="BD32" s="12">
        <v>2400</v>
      </c>
      <c r="BE32" s="12">
        <v>1400</v>
      </c>
      <c r="BF32" s="12">
        <v>2000</v>
      </c>
      <c r="BG32" s="12">
        <v>2400</v>
      </c>
      <c r="BH32" s="12">
        <v>1400</v>
      </c>
      <c r="BI32" s="12">
        <v>2000</v>
      </c>
      <c r="BJ32" s="12">
        <v>2400</v>
      </c>
    </row>
    <row r="33" spans="1:62" x14ac:dyDescent="0.3">
      <c r="A33" s="5" t="s">
        <v>53</v>
      </c>
      <c r="B33" s="6"/>
      <c r="C33" s="11">
        <v>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11">
        <v>0</v>
      </c>
      <c r="AF33" s="11">
        <v>0</v>
      </c>
      <c r="AG33" s="11">
        <v>0</v>
      </c>
      <c r="AH33" s="11">
        <v>0</v>
      </c>
      <c r="AI33" s="11">
        <v>0</v>
      </c>
      <c r="AJ33" s="11">
        <v>0</v>
      </c>
      <c r="AK33" s="11">
        <v>0</v>
      </c>
      <c r="AL33" s="11">
        <v>0</v>
      </c>
      <c r="AM33" s="11">
        <v>0</v>
      </c>
      <c r="AN33" s="11">
        <v>0</v>
      </c>
      <c r="AO33" s="11">
        <v>0</v>
      </c>
      <c r="AP33" s="11">
        <v>0</v>
      </c>
      <c r="AQ33" s="11">
        <v>0</v>
      </c>
      <c r="AR33" s="11">
        <v>0</v>
      </c>
      <c r="AS33" s="11">
        <v>0</v>
      </c>
      <c r="AT33" s="11">
        <v>0</v>
      </c>
      <c r="AU33" s="11">
        <v>0</v>
      </c>
      <c r="AV33" s="11">
        <v>0</v>
      </c>
      <c r="AW33" s="11">
        <v>0</v>
      </c>
      <c r="AX33" s="11">
        <v>0</v>
      </c>
      <c r="AY33" s="11">
        <v>0</v>
      </c>
      <c r="AZ33" s="11">
        <v>0</v>
      </c>
      <c r="BA33" s="11">
        <v>0</v>
      </c>
      <c r="BB33" s="11">
        <v>0</v>
      </c>
      <c r="BC33" s="11">
        <v>0</v>
      </c>
      <c r="BD33" s="11">
        <v>0</v>
      </c>
      <c r="BE33" s="11">
        <v>0</v>
      </c>
      <c r="BF33" s="11">
        <v>0</v>
      </c>
      <c r="BG33" s="11">
        <v>0</v>
      </c>
      <c r="BH33" s="12">
        <v>1</v>
      </c>
      <c r="BI33" s="12">
        <v>2</v>
      </c>
      <c r="BJ33" s="12">
        <v>3</v>
      </c>
    </row>
    <row r="34" spans="1:62" x14ac:dyDescent="0.3">
      <c r="A34" s="5" t="s">
        <v>54</v>
      </c>
      <c r="B34" s="6"/>
      <c r="C34" s="11">
        <v>0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0</v>
      </c>
      <c r="AE34" s="11">
        <v>0</v>
      </c>
      <c r="AF34" s="11">
        <v>0</v>
      </c>
      <c r="AG34" s="11">
        <v>0</v>
      </c>
      <c r="AH34" s="11">
        <v>0</v>
      </c>
      <c r="AI34" s="11">
        <v>0</v>
      </c>
      <c r="AJ34" s="11">
        <v>0</v>
      </c>
      <c r="AK34" s="11">
        <v>0</v>
      </c>
      <c r="AL34" s="11">
        <v>0</v>
      </c>
      <c r="AM34" s="11">
        <v>0</v>
      </c>
      <c r="AN34" s="11">
        <v>0</v>
      </c>
      <c r="AO34" s="11">
        <v>0</v>
      </c>
      <c r="AP34" s="11">
        <v>0</v>
      </c>
      <c r="AQ34" s="11">
        <v>0</v>
      </c>
      <c r="AR34" s="11">
        <v>0</v>
      </c>
      <c r="AS34" s="11">
        <v>0</v>
      </c>
      <c r="AT34" s="11">
        <v>0</v>
      </c>
      <c r="AU34" s="11">
        <v>0</v>
      </c>
      <c r="AV34" s="11">
        <v>0</v>
      </c>
      <c r="AW34" s="11">
        <v>0</v>
      </c>
      <c r="AX34" s="11">
        <v>0</v>
      </c>
      <c r="AY34" s="11">
        <v>0</v>
      </c>
      <c r="AZ34" s="11">
        <v>0</v>
      </c>
      <c r="BA34" s="11">
        <v>0</v>
      </c>
      <c r="BB34" s="11">
        <v>0</v>
      </c>
      <c r="BC34" s="11">
        <v>0</v>
      </c>
      <c r="BD34" s="11">
        <v>0</v>
      </c>
      <c r="BE34" s="11">
        <v>0</v>
      </c>
      <c r="BF34" s="11">
        <v>0</v>
      </c>
      <c r="BG34" s="11">
        <v>0</v>
      </c>
      <c r="BH34" s="12">
        <v>1</v>
      </c>
      <c r="BI34" s="12">
        <v>2</v>
      </c>
      <c r="BJ34" s="12">
        <v>3</v>
      </c>
    </row>
    <row r="35" spans="1:62" x14ac:dyDescent="0.3">
      <c r="A35" s="5" t="s">
        <v>55</v>
      </c>
      <c r="B35" s="6"/>
      <c r="C35" s="11">
        <v>0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0</v>
      </c>
      <c r="AE35" s="11">
        <v>0</v>
      </c>
      <c r="AF35" s="11">
        <v>0</v>
      </c>
      <c r="AG35" s="11">
        <v>0</v>
      </c>
      <c r="AH35" s="11">
        <v>0</v>
      </c>
      <c r="AI35" s="11">
        <v>0</v>
      </c>
      <c r="AJ35" s="11">
        <v>0</v>
      </c>
      <c r="AK35" s="11">
        <v>0</v>
      </c>
      <c r="AL35" s="11">
        <v>0</v>
      </c>
      <c r="AM35" s="11">
        <v>0</v>
      </c>
      <c r="AN35" s="11">
        <v>0</v>
      </c>
      <c r="AO35" s="11">
        <v>0</v>
      </c>
      <c r="AP35" s="11">
        <v>0</v>
      </c>
      <c r="AQ35" s="11">
        <v>0</v>
      </c>
      <c r="AR35" s="11">
        <v>0</v>
      </c>
      <c r="AS35" s="11">
        <v>0</v>
      </c>
      <c r="AT35" s="11">
        <v>0</v>
      </c>
      <c r="AU35" s="11">
        <v>0</v>
      </c>
      <c r="AV35" s="11">
        <v>0</v>
      </c>
      <c r="AW35" s="11">
        <v>0</v>
      </c>
      <c r="AX35" s="11">
        <v>0</v>
      </c>
      <c r="AY35" s="11">
        <v>0</v>
      </c>
      <c r="AZ35" s="11">
        <v>0</v>
      </c>
      <c r="BA35" s="11">
        <v>0</v>
      </c>
      <c r="BB35" s="11">
        <v>0</v>
      </c>
      <c r="BC35" s="11">
        <v>0</v>
      </c>
      <c r="BD35" s="11">
        <v>0</v>
      </c>
      <c r="BE35" s="11">
        <v>0</v>
      </c>
      <c r="BF35" s="11">
        <v>0</v>
      </c>
      <c r="BG35" s="11">
        <v>0</v>
      </c>
      <c r="BH35" s="12">
        <v>2</v>
      </c>
      <c r="BI35" s="12">
        <v>4</v>
      </c>
      <c r="BJ35" s="12">
        <v>6</v>
      </c>
    </row>
    <row r="36" spans="1:62" x14ac:dyDescent="0.3">
      <c r="A36" s="5" t="s">
        <v>56</v>
      </c>
      <c r="B36" s="9"/>
      <c r="C36" s="12">
        <v>5.6</v>
      </c>
      <c r="D36" s="12">
        <v>8</v>
      </c>
      <c r="E36" s="12">
        <v>9.6</v>
      </c>
      <c r="F36" s="12">
        <v>11</v>
      </c>
      <c r="G36" s="12">
        <v>16</v>
      </c>
      <c r="H36" s="12">
        <v>19</v>
      </c>
      <c r="I36" s="12">
        <v>11</v>
      </c>
      <c r="J36" s="12">
        <v>16</v>
      </c>
      <c r="K36" s="12">
        <v>19</v>
      </c>
      <c r="L36" s="12">
        <v>45</v>
      </c>
      <c r="M36" s="12">
        <v>64</v>
      </c>
      <c r="N36" s="12">
        <v>77</v>
      </c>
      <c r="O36" s="12">
        <v>34</v>
      </c>
      <c r="P36" s="12">
        <v>48</v>
      </c>
      <c r="Q36" s="12">
        <v>58</v>
      </c>
      <c r="R36" s="12">
        <v>22</v>
      </c>
      <c r="S36" s="12">
        <v>64</v>
      </c>
      <c r="T36" s="12">
        <v>38</v>
      </c>
      <c r="U36" s="12">
        <v>45</v>
      </c>
      <c r="V36" s="12">
        <v>64</v>
      </c>
      <c r="W36" s="12">
        <v>77</v>
      </c>
      <c r="X36" s="12">
        <v>45</v>
      </c>
      <c r="Y36" s="12">
        <v>64</v>
      </c>
      <c r="Z36" s="12">
        <v>77</v>
      </c>
      <c r="AA36" s="12">
        <v>45</v>
      </c>
      <c r="AB36" s="12">
        <v>64</v>
      </c>
      <c r="AC36" s="12">
        <v>77</v>
      </c>
      <c r="AD36" s="12">
        <v>45</v>
      </c>
      <c r="AE36" s="12">
        <v>64</v>
      </c>
      <c r="AF36" s="12">
        <v>77</v>
      </c>
      <c r="AG36" s="12">
        <v>34</v>
      </c>
      <c r="AH36" s="12">
        <v>48</v>
      </c>
      <c r="AI36" s="12">
        <v>58</v>
      </c>
      <c r="AJ36" s="12">
        <v>45</v>
      </c>
      <c r="AK36" s="12">
        <v>64</v>
      </c>
      <c r="AL36" s="12">
        <v>77</v>
      </c>
      <c r="AM36" s="12">
        <v>45</v>
      </c>
      <c r="AN36" s="12">
        <v>64</v>
      </c>
      <c r="AO36" s="12">
        <v>77</v>
      </c>
      <c r="AP36" s="12">
        <v>45</v>
      </c>
      <c r="AQ36" s="12">
        <v>64</v>
      </c>
      <c r="AR36" s="12">
        <v>77</v>
      </c>
      <c r="AS36" s="12">
        <v>34</v>
      </c>
      <c r="AT36" s="12">
        <v>48</v>
      </c>
      <c r="AU36" s="12">
        <v>58</v>
      </c>
      <c r="AV36" s="12">
        <v>45</v>
      </c>
      <c r="AW36" s="12">
        <v>64</v>
      </c>
      <c r="AX36" s="12">
        <v>77</v>
      </c>
      <c r="AY36" s="12">
        <v>34</v>
      </c>
      <c r="AZ36" s="12">
        <v>48</v>
      </c>
      <c r="BA36" s="12">
        <v>58</v>
      </c>
      <c r="BB36" s="12">
        <v>45</v>
      </c>
      <c r="BC36" s="12">
        <v>64</v>
      </c>
      <c r="BD36" s="12">
        <v>77</v>
      </c>
      <c r="BE36" s="12">
        <v>34</v>
      </c>
      <c r="BF36" s="12">
        <v>48</v>
      </c>
      <c r="BG36" s="12">
        <v>58</v>
      </c>
      <c r="BH36" s="12">
        <v>45</v>
      </c>
      <c r="BI36" s="12">
        <v>64</v>
      </c>
      <c r="BJ36" s="12">
        <v>77</v>
      </c>
    </row>
    <row r="37" spans="1:62" x14ac:dyDescent="0.3">
      <c r="E37" s="10"/>
    </row>
    <row r="38" spans="1:62" s="15" customFormat="1" thickBot="1" x14ac:dyDescent="0.3">
      <c r="B38" s="16"/>
      <c r="C38" s="17"/>
      <c r="D38" s="18"/>
    </row>
    <row r="39" spans="1:62" ht="16.2" thickBot="1" x14ac:dyDescent="0.35">
      <c r="A39" s="19"/>
      <c r="B39" s="20" t="s">
        <v>57</v>
      </c>
      <c r="C39" s="21" t="s">
        <v>22</v>
      </c>
      <c r="D39" s="21" t="s">
        <v>23</v>
      </c>
      <c r="E39" s="21" t="s">
        <v>24</v>
      </c>
      <c r="F39" s="21" t="s">
        <v>25</v>
      </c>
      <c r="G39" s="21" t="s">
        <v>26</v>
      </c>
      <c r="H39" s="21" t="s">
        <v>27</v>
      </c>
      <c r="I39" s="21" t="s">
        <v>28</v>
      </c>
      <c r="J39" s="21" t="s">
        <v>29</v>
      </c>
      <c r="K39" s="21" t="s">
        <v>30</v>
      </c>
      <c r="L39" s="21" t="s">
        <v>31</v>
      </c>
      <c r="M39" s="21" t="s">
        <v>32</v>
      </c>
      <c r="N39" s="21" t="s">
        <v>33</v>
      </c>
      <c r="O39" s="21" t="s">
        <v>34</v>
      </c>
      <c r="P39" s="21" t="s">
        <v>35</v>
      </c>
      <c r="Q39" s="21" t="s">
        <v>36</v>
      </c>
      <c r="R39" s="21" t="s">
        <v>37</v>
      </c>
      <c r="S39" s="21" t="s">
        <v>38</v>
      </c>
      <c r="T39" s="21" t="s">
        <v>39</v>
      </c>
      <c r="U39" s="21" t="s">
        <v>40</v>
      </c>
      <c r="V39" s="22" t="s">
        <v>41</v>
      </c>
      <c r="W39" s="23"/>
    </row>
    <row r="40" spans="1:62" ht="16.2" thickBot="1" x14ac:dyDescent="0.35">
      <c r="A40" s="24" t="s">
        <v>58</v>
      </c>
      <c r="B40" s="25"/>
      <c r="C40" s="113">
        <f>($D$3*D22)+($D$4*D23)+($D$5*D24)+($D$6*D25)+($D$7*D26)+($D$8*D27)+($D$9*D28)+($D$10*D29)+($D$11*D30)+($D$12*D31)+($D$13*D32)+($D$14*D33)+($D$15*D34)+($D$16*D35)+($D$17*D36)</f>
        <v>197736.51170028496</v>
      </c>
      <c r="D40" s="113">
        <f>($D$3*G22)+($D$4*G23)+($D$5*G24)+($D$6*G25)+($D$7*G26)+($D$8*G27)+($D$9*G28)+($D$10*G29)+($D$11*G30)+($D$12*G31)+($D$13*G32)+($D$14*G33)+($D$15*G34)+($D$16*G35)+($D$17*G36)</f>
        <v>149415.36424667921</v>
      </c>
      <c r="E40" s="114">
        <f>($D$3*J22)+($D$4*J23)+($D$5*J24)+($D$6*J25)+($D$7*J26)+($D$8*J27)+($D$9*J28)+($D$10*J29)+($D$11*J30)+($D$12*J31)+($D$13*J32)+($D$14*J33)+($D$15*J34)+($D$16*J35)+($D$17*J36)</f>
        <v>105554.43618827974</v>
      </c>
      <c r="F40" s="113">
        <f>($D$3*M22)+($D$4*M23)+($D$5*M24)+($D$6*M25)+($D$7*M26)+($D$8*M27)+($D$9*M28)+($D$10*M29)+($D$11*M30)+($D$12*M31)+($D$13*M32)+($D$14*M33)+($D$15*M34)+($D$16*M35)+($D$17*M36)</f>
        <v>28532.22156585726</v>
      </c>
      <c r="G40" s="114">
        <f>($D$3*P22)+($D$4*P23)+($D$5*P24)+($D$6*P25)+($D$7*P26)+($D$8*P27)+($D$9*P28)+($D$10*P29)+($D$11*P30)+($D$12*P31)+($D$13*P32)+($D$14*P33)+($D$15*P34)+($D$16*P35)+($D$17*P36)</f>
        <v>25815.553013852263</v>
      </c>
      <c r="H40" s="113">
        <f>($D$3*S22)+($D$4*S23)+($D$5*S24)+($D$6*S25)+($D$7*S26)+($D$8*S27)+($D$9*S28)+($D$10*S29)+($D$11*S30)+($D$12*S31)+($D$13*S32)+($D$14*S33)+($D$15*S34)+($D$16*S35)+($D$17*S36)</f>
        <v>5119.6938298239975</v>
      </c>
      <c r="I40" s="113">
        <f>($D$3*V22)+($D$4*V23)+($D$5*V24)+($D$6*V25)+($D$7*V26)+($D$8*V27)+($D$9*V28)+($D$10*V29)+($D$11*V30)+($D$12*V31)+($D$13*V32)+($D$14*V33)+($D$15*V35)+($D$16*V34)+($D$17*V36)</f>
        <v>5255.6655738018144</v>
      </c>
      <c r="J40" s="113">
        <f>($D$3*Y22)+($D$4*Y23)+($D$5*Y24)+($D$6*Y25)+($D$7*Y26)+($D$8*Y27)+($D$9*Y28)+($D$10*Y29)+($D$11*Y30)+($D$12*Y31)+($D$13*Y32)+($D$14*Y33)+($D$15*Y34)+($D$16*Y35)+($D$17*Y36)</f>
        <v>5398.8259474214319</v>
      </c>
      <c r="K40" s="113">
        <f>($D$3*AB22)+($D$4*AB23)+($D$5*AB24)+($D$6*AB25)+($D$7*AB26)+($D$8*AB27)+($D$9*AB28)+($D$10*AB29)+($D$11*AB30)+($D$12*AB31)+($D$13*AB32)+($D$14*AB33)+($D$15*AB34)+($D$16*AB35)+($D$17*AB36)</f>
        <v>5264.2919293719751</v>
      </c>
      <c r="L40" s="113">
        <f>($D$3*AE22)+($D$4*AE23)+($D$5*AE24)+($D$6*AE25)+($D$7*AE26)+($D$8*AE27)+($D$9*AE28)+($D$10*AE29)+($D$11*AE30)+($D$12*AE31)+($D$13*AE32)+($D$14*AE33)+($D$15*AE34)+($D$16*AE35)+($D$17*AE36)</f>
        <v>5255.6655738018144</v>
      </c>
      <c r="M40" s="113">
        <f>($D$3*AH22)+($D$4*AH23)+($D$5*AH24)+($D$6*AH25)+($D$7*AH26)+($D$8*AH27)+($D$9*AH28)+($D$10*AH29)+($D$11*AH30)+($D$12*AH31)+($D$13*AH32)+($D$14*AH33)+($D$15*AH34)+($D$16*AH35)+($D$17*AH36)</f>
        <v>4745.1167732760168</v>
      </c>
      <c r="N40" s="113">
        <f>($D$3*AK22)+($D$4*AK23)+($D$5*AK24)+($D$6*AK25)+($D$7*AK26)+($D$8*AK27)+($D$9*AK28)+($D$10*AK29)+($D$11*AK30)+($D$12*AK31)+($D$13*AK32)+($D$14*AK33)+($D$15*AK34)+($D$16*AK35)+($D$17*AK36)</f>
        <v>4771.3573253627737</v>
      </c>
      <c r="O40" s="113">
        <f>($D$3*AN22)+($D$4*AN23)+($D$5*AN24)+($D$6*AN25)+($D$7*AN26)+($D$8*AN27)+($D$9*AN28)+($D$10*AN29)+($D$11*AN30)+($D$12*AN31)+($D$13*AN32)+($D$14*AN33)+($D$15*AN35)+($D$16*AN34)+($D$17*AN36)</f>
        <v>4418.4065144202877</v>
      </c>
      <c r="P40" s="113">
        <f>($D$3*AQ22)+($D$4*AQ23)+($D$5*AQ24)+($D$6*AQ25)+($D$7*AQ26)+($D$8*AQ27)+($D$9*AQ28)+($D$10*AQ29)+($D$11*AQ30)+($D$12*AQ31)+($D$13*AQ32)+($D$14*AQ33)+($D$15*AQ34)+($D$16*AQ35)+($D$17*AQ36)</f>
        <v>4418.4065144202877</v>
      </c>
      <c r="Q40" s="113">
        <f>($D$3*AT22)+($D$4*AT23)+($D$5*AT24)+($D$6*AT25)+($D$7*AT26)+($D$8*AT27)+($D$9*AT28)+($D$10*AT29)+($D$11*AT30)+($D$12*AT31)+($D$13*AT32)+($D$14*AT33)+($D$15*AT34)+($D$16*AT35)+($D$17*AT36)</f>
        <v>4409.4186734738532</v>
      </c>
      <c r="R40" s="113">
        <f>($D$3*AW22)+($D$4*AW23)+($D$5*AW24)+($D$6*AW25)+($D$7*AW26)+($D$8*AW27)+($D$9*AW28)+($D$10*AW29)+($D$11*AW30)+($D$12*AW31)+($D$13*AW32)+($D$14*AW33)+($D$15*AW34)+($D$16*AW35)+($D$17*AW36)</f>
        <v>4418.4065144202877</v>
      </c>
      <c r="S40" s="113">
        <f>($D$3*AZ22)+($D$4*AZ23)+($D$5*AZ24)+($D$6*AZ25)+($D$7*AZ26)+($D$8*AZ27)+($D$9*AZ28)+($D$10*AZ29)+($D$11*AZ30)+($D$12*AZ31)+($D$13*AZ32)+($D$14*AZ33)+($D$15*AZ34)+($D$16*AZ35)+($D$17*AZ36)</f>
        <v>4400.7923179036925</v>
      </c>
      <c r="T40" s="113">
        <f>($D$3*BC22)+($D$4*BC23)+($D$5*BC24)+($D$6*BC25)+($D$7*BC26)+($D$8*BC27)+($D$9*BC28)+($D$10*BC29)+($D$11*BC30)+($D$12*BC31)+($D$13*BC32)+($D$14*BC33)+($D$15*BC34)+($D$16*BC35)+($D$17*BC36)</f>
        <v>4427.0328699904485</v>
      </c>
      <c r="U40" s="113">
        <f>($D$3*BF22)+($D$4*BF23)+($D$5*BF24)+($D$6*BF25)+($D$7*BF26)+($D$8*BF27)+($D$9*BF28)+($D$10*BF29)+($D$11*BF30)+($D$12*BF31)+($D$13*BF32)+($D$14*BF33)+($D$15*BF34)+($D$16*BF35)+($D$17*BF36)</f>
        <v>4400.7923179036925</v>
      </c>
      <c r="V40" s="114">
        <f>($D$3*BI22)+($D$4*BI23)+($D$5*BI24)+($D$6*BI25)+($D$7*BI26)+($D$8*BI27)+($D$9*BI28)+($D$10*BI29)+($D$11*BI30)+($D$12*BI31)+($D$13*BI32)+($D$14*BI33)+($D$15*BI34)+($D$16*BI35)+($D$17*BI36)</f>
        <v>5713.8550849099365</v>
      </c>
      <c r="W40" s="26"/>
    </row>
    <row r="41" spans="1:62" ht="16.2" thickBot="1" x14ac:dyDescent="0.35">
      <c r="A41" s="27" t="s">
        <v>59</v>
      </c>
      <c r="B41" s="28"/>
      <c r="C41" s="29">
        <f t="shared" ref="C41:V41" si="0">SUM(C43,C44)</f>
        <v>24293.982603516259</v>
      </c>
      <c r="D41" s="29">
        <f t="shared" si="0"/>
        <v>27562.240778015115</v>
      </c>
      <c r="E41" s="29">
        <f t="shared" si="0"/>
        <v>18632.143793131778</v>
      </c>
      <c r="F41" s="29">
        <f t="shared" si="0"/>
        <v>14115.893895826488</v>
      </c>
      <c r="G41" s="29">
        <f t="shared" si="0"/>
        <v>11897.852592014457</v>
      </c>
      <c r="H41" s="29">
        <f t="shared" si="0"/>
        <v>507.36468945119947</v>
      </c>
      <c r="I41" s="29">
        <f t="shared" si="0"/>
        <v>507.36468945119947</v>
      </c>
      <c r="J41" s="29">
        <f t="shared" si="0"/>
        <v>948.17484801183036</v>
      </c>
      <c r="K41" s="29">
        <f t="shared" si="0"/>
        <v>518.6873973052908</v>
      </c>
      <c r="L41" s="29">
        <f t="shared" si="0"/>
        <v>519.41919980282614</v>
      </c>
      <c r="M41" s="29">
        <f t="shared" si="0"/>
        <v>414.99511173184362</v>
      </c>
      <c r="N41" s="29">
        <f t="shared" si="0"/>
        <v>414.99511173184362</v>
      </c>
      <c r="O41" s="29">
        <f t="shared" si="0"/>
        <v>414.99511173184362</v>
      </c>
      <c r="P41" s="29">
        <f t="shared" si="0"/>
        <v>409.0177661846862</v>
      </c>
      <c r="Q41" s="29">
        <f t="shared" si="0"/>
        <v>414.99511173184362</v>
      </c>
      <c r="R41" s="29">
        <f t="shared" si="0"/>
        <v>414.99511173184362</v>
      </c>
      <c r="S41" s="29">
        <f t="shared" si="0"/>
        <v>414.99511173184362</v>
      </c>
      <c r="T41" s="29">
        <f t="shared" si="0"/>
        <v>414.99511173184362</v>
      </c>
      <c r="U41" s="29">
        <f t="shared" si="0"/>
        <v>414.78972231350645</v>
      </c>
      <c r="V41" s="30">
        <f t="shared" si="0"/>
        <v>414.78972231350645</v>
      </c>
      <c r="W41" s="31">
        <f>SUM(B41:V41)</f>
        <v>103646.68747946103</v>
      </c>
    </row>
    <row r="42" spans="1:62" ht="15.6" x14ac:dyDescent="0.3">
      <c r="A42" s="32" t="s">
        <v>60</v>
      </c>
      <c r="B42" s="28">
        <v>46.212619125862631</v>
      </c>
      <c r="C42" s="33">
        <v>0</v>
      </c>
      <c r="D42" s="33">
        <v>0</v>
      </c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33">
        <v>0</v>
      </c>
      <c r="P42" s="33">
        <v>0</v>
      </c>
      <c r="Q42" s="33">
        <v>0</v>
      </c>
      <c r="R42" s="33">
        <v>0</v>
      </c>
      <c r="S42" s="33">
        <v>0</v>
      </c>
      <c r="T42" s="33">
        <v>0</v>
      </c>
      <c r="U42" s="33">
        <v>0</v>
      </c>
      <c r="V42" s="33">
        <v>0</v>
      </c>
      <c r="W42" s="34"/>
    </row>
    <row r="43" spans="1:62" ht="15.6" x14ac:dyDescent="0.3">
      <c r="A43" s="35" t="s">
        <v>61</v>
      </c>
      <c r="B43" s="33">
        <v>164.31153466973382</v>
      </c>
      <c r="C43" s="33">
        <v>1086.8797239566218</v>
      </c>
      <c r="D43" s="33">
        <v>767.45810055865911</v>
      </c>
      <c r="E43" s="33">
        <v>581.20169240880705</v>
      </c>
      <c r="F43" s="33">
        <v>516.79276207689782</v>
      </c>
      <c r="G43" s="33">
        <v>535.39808577062104</v>
      </c>
      <c r="H43" s="33">
        <v>273.93735622740718</v>
      </c>
      <c r="I43" s="33">
        <v>273.93735622740718</v>
      </c>
      <c r="J43" s="33">
        <v>273.93735622740718</v>
      </c>
      <c r="K43" s="33">
        <v>285.29621261912587</v>
      </c>
      <c r="L43" s="33">
        <v>285.29621261912587</v>
      </c>
      <c r="M43" s="33">
        <v>215.05303154781467</v>
      </c>
      <c r="N43" s="33">
        <v>215.05303154781467</v>
      </c>
      <c r="O43" s="33">
        <v>215.05303154781467</v>
      </c>
      <c r="P43" s="33">
        <v>215.05303154781467</v>
      </c>
      <c r="Q43" s="33">
        <v>215.05303154781467</v>
      </c>
      <c r="R43" s="33">
        <v>215.05303154781467</v>
      </c>
      <c r="S43" s="33">
        <v>215.05303154781467</v>
      </c>
      <c r="T43" s="33">
        <v>215.05303154781467</v>
      </c>
      <c r="U43" s="33">
        <v>214.84764212947749</v>
      </c>
      <c r="V43" s="36">
        <v>214.84764212947749</v>
      </c>
      <c r="W43" s="37"/>
    </row>
    <row r="44" spans="1:62" ht="16.2" thickBot="1" x14ac:dyDescent="0.35">
      <c r="A44" s="38" t="s">
        <v>62</v>
      </c>
      <c r="B44" s="39"/>
      <c r="C44" s="33">
        <v>23207.102879559636</v>
      </c>
      <c r="D44" s="33">
        <v>26794.782677456456</v>
      </c>
      <c r="E44" s="33">
        <v>18050.942100722972</v>
      </c>
      <c r="F44" s="33">
        <v>13599.101133749589</v>
      </c>
      <c r="G44" s="33">
        <v>11362.454506243836</v>
      </c>
      <c r="H44" s="33">
        <v>233.42733322379229</v>
      </c>
      <c r="I44" s="33">
        <v>233.42733322379229</v>
      </c>
      <c r="J44" s="33">
        <v>674.23749178442324</v>
      </c>
      <c r="K44" s="33">
        <v>233.39118468616496</v>
      </c>
      <c r="L44" s="33">
        <v>234.1229871837003</v>
      </c>
      <c r="M44" s="33">
        <v>199.94208018402892</v>
      </c>
      <c r="N44" s="33">
        <v>199.94208018402892</v>
      </c>
      <c r="O44" s="33">
        <v>199.94208018402892</v>
      </c>
      <c r="P44" s="33">
        <v>193.96473463687153</v>
      </c>
      <c r="Q44" s="33">
        <v>199.94208018402892</v>
      </c>
      <c r="R44" s="33">
        <v>199.94208018402892</v>
      </c>
      <c r="S44" s="33">
        <v>199.94208018402892</v>
      </c>
      <c r="T44" s="33">
        <v>199.94208018402892</v>
      </c>
      <c r="U44" s="33">
        <v>199.94208018402892</v>
      </c>
      <c r="V44" s="40">
        <v>199.94208018402892</v>
      </c>
      <c r="W44" s="37"/>
    </row>
    <row r="45" spans="1:62" ht="16.2" thickBot="1" x14ac:dyDescent="0.35">
      <c r="A45" s="41" t="s">
        <v>63</v>
      </c>
      <c r="B45" s="39"/>
      <c r="C45" s="29">
        <f>C40-C41</f>
        <v>173442.5290967687</v>
      </c>
      <c r="D45" s="29">
        <f t="shared" ref="D45:V45" si="1">D40-D41</f>
        <v>121853.1234686641</v>
      </c>
      <c r="E45" s="29">
        <f>E40-E41</f>
        <v>86922.292395147961</v>
      </c>
      <c r="F45" s="29">
        <f>F40-F41</f>
        <v>14416.327670030772</v>
      </c>
      <c r="G45" s="29">
        <f t="shared" si="1"/>
        <v>13917.700421837806</v>
      </c>
      <c r="H45" s="29">
        <f t="shared" si="1"/>
        <v>4612.3291403727981</v>
      </c>
      <c r="I45" s="29">
        <f t="shared" si="1"/>
        <v>4748.300884350615</v>
      </c>
      <c r="J45" s="29">
        <f t="shared" si="1"/>
        <v>4450.6510994096016</v>
      </c>
      <c r="K45" s="29">
        <f t="shared" si="1"/>
        <v>4745.6045320666844</v>
      </c>
      <c r="L45" s="29">
        <f t="shared" si="1"/>
        <v>4736.246373998988</v>
      </c>
      <c r="M45" s="29">
        <f t="shared" si="1"/>
        <v>4330.1216615441735</v>
      </c>
      <c r="N45" s="29">
        <f t="shared" si="1"/>
        <v>4356.3622136309305</v>
      </c>
      <c r="O45" s="29">
        <f t="shared" si="1"/>
        <v>4003.411402688444</v>
      </c>
      <c r="P45" s="29">
        <f t="shared" si="1"/>
        <v>4009.3887482356017</v>
      </c>
      <c r="Q45" s="29">
        <f t="shared" si="1"/>
        <v>3994.4235617420095</v>
      </c>
      <c r="R45" s="29">
        <f t="shared" si="1"/>
        <v>4003.411402688444</v>
      </c>
      <c r="S45" s="29">
        <f t="shared" si="1"/>
        <v>3985.7972061718488</v>
      </c>
      <c r="T45" s="29">
        <f t="shared" si="1"/>
        <v>4012.0377582586048</v>
      </c>
      <c r="U45" s="29">
        <f t="shared" si="1"/>
        <v>3986.002595590186</v>
      </c>
      <c r="V45" s="29">
        <f t="shared" si="1"/>
        <v>5299.0653625964296</v>
      </c>
      <c r="W45" s="37"/>
    </row>
    <row r="46" spans="1:62" ht="16.2" thickBot="1" x14ac:dyDescent="0.35">
      <c r="A46" s="42" t="s">
        <v>64</v>
      </c>
      <c r="B46" s="43"/>
      <c r="C46" s="44">
        <f t="shared" ref="C46:V46" si="2">SUM(C47:C47)</f>
        <v>6.7778508051265183</v>
      </c>
      <c r="D46" s="44">
        <f t="shared" si="2"/>
        <v>6.7778508051265183</v>
      </c>
      <c r="E46" s="45">
        <f t="shared" si="2"/>
        <v>6.7778508051265183</v>
      </c>
      <c r="F46" s="44">
        <f t="shared" si="2"/>
        <v>6.7778508051265183</v>
      </c>
      <c r="G46" s="44">
        <f t="shared" si="2"/>
        <v>6.7778508051265183</v>
      </c>
      <c r="H46" s="45">
        <f t="shared" si="2"/>
        <v>6.7778508051265183</v>
      </c>
      <c r="I46" s="45">
        <f t="shared" si="2"/>
        <v>6.7778508051265183</v>
      </c>
      <c r="J46" s="45">
        <f t="shared" si="2"/>
        <v>6.7778508051265183</v>
      </c>
      <c r="K46" s="45">
        <f t="shared" si="2"/>
        <v>6.7778508051265183</v>
      </c>
      <c r="L46" s="44">
        <f t="shared" si="2"/>
        <v>6.7778508051265183</v>
      </c>
      <c r="M46" s="45">
        <f t="shared" si="2"/>
        <v>6.7778508051265183</v>
      </c>
      <c r="N46" s="45">
        <f t="shared" si="2"/>
        <v>6.7778508051265183</v>
      </c>
      <c r="O46" s="45">
        <f t="shared" si="2"/>
        <v>6.7778508051265183</v>
      </c>
      <c r="P46" s="45">
        <f t="shared" si="2"/>
        <v>6.7778508051265183</v>
      </c>
      <c r="Q46" s="45">
        <f t="shared" si="2"/>
        <v>6.7778508051265183</v>
      </c>
      <c r="R46" s="45">
        <f t="shared" si="2"/>
        <v>6.7778508051265183</v>
      </c>
      <c r="S46" s="45">
        <f t="shared" si="2"/>
        <v>6.7778508051265183</v>
      </c>
      <c r="T46" s="45">
        <f t="shared" si="2"/>
        <v>6.7778508051265183</v>
      </c>
      <c r="U46" s="45">
        <f t="shared" si="2"/>
        <v>6.7778508051265183</v>
      </c>
      <c r="V46" s="46">
        <f t="shared" si="2"/>
        <v>6.7778508051265183</v>
      </c>
      <c r="W46" s="34"/>
    </row>
    <row r="47" spans="1:62" ht="15.6" x14ac:dyDescent="0.3">
      <c r="A47" s="47" t="s">
        <v>65</v>
      </c>
      <c r="B47" s="48"/>
      <c r="C47" s="49">
        <v>6.7778508051265183</v>
      </c>
      <c r="D47" s="49">
        <v>6.7778508051265183</v>
      </c>
      <c r="E47" s="50">
        <v>6.7778508051265183</v>
      </c>
      <c r="F47" s="49">
        <v>6.7778508051265183</v>
      </c>
      <c r="G47" s="49">
        <v>6.7778508051265183</v>
      </c>
      <c r="H47" s="50">
        <v>6.7778508051265183</v>
      </c>
      <c r="I47" s="50">
        <v>6.7778508051265183</v>
      </c>
      <c r="J47" s="50">
        <v>6.7778508051265183</v>
      </c>
      <c r="K47" s="50">
        <v>6.7778508051265183</v>
      </c>
      <c r="L47" s="49">
        <v>6.7778508051265183</v>
      </c>
      <c r="M47" s="50">
        <v>6.7778508051265183</v>
      </c>
      <c r="N47" s="50">
        <v>6.7778508051265183</v>
      </c>
      <c r="O47" s="50">
        <v>6.7778508051265183</v>
      </c>
      <c r="P47" s="50">
        <v>6.7778508051265183</v>
      </c>
      <c r="Q47" s="50">
        <v>6.7778508051265183</v>
      </c>
      <c r="R47" s="50">
        <v>6.7778508051265183</v>
      </c>
      <c r="S47" s="50">
        <v>6.7778508051265183</v>
      </c>
      <c r="T47" s="50">
        <v>6.7778508051265183</v>
      </c>
      <c r="U47" s="50">
        <v>6.7778508051265183</v>
      </c>
      <c r="V47" s="50">
        <v>6.7778508051265183</v>
      </c>
      <c r="W47" s="34">
        <f>SUM(B47:V47)</f>
        <v>135.55701610253035</v>
      </c>
      <c r="X47" t="s">
        <v>66</v>
      </c>
      <c r="Y47" s="51"/>
      <c r="Z47" s="52">
        <v>6.7778508051265183</v>
      </c>
      <c r="AA47">
        <v>6.7778508051265183</v>
      </c>
      <c r="AB47">
        <v>6.7778508051265183</v>
      </c>
      <c r="AC47">
        <v>6.7778508051265183</v>
      </c>
      <c r="AD47">
        <v>6.7778508051265183</v>
      </c>
      <c r="AE47">
        <v>6.7778508051265183</v>
      </c>
      <c r="AF47">
        <v>6.7778508051265183</v>
      </c>
      <c r="AG47">
        <v>6.7778508051265183</v>
      </c>
      <c r="AH47">
        <v>6.7778508051265183</v>
      </c>
      <c r="AI47">
        <v>6.7778508051265183</v>
      </c>
      <c r="AJ47">
        <v>6.7778508051265183</v>
      </c>
      <c r="AK47">
        <v>6.7778508051265183</v>
      </c>
      <c r="AL47">
        <v>6.7778508051265183</v>
      </c>
      <c r="AM47">
        <v>6.7778508051265183</v>
      </c>
      <c r="AN47">
        <v>6.7778508051265183</v>
      </c>
      <c r="AO47">
        <v>6.7778508051265183</v>
      </c>
      <c r="AP47">
        <v>6.7778508051265183</v>
      </c>
      <c r="AQ47">
        <v>6.7778508051265183</v>
      </c>
      <c r="AR47">
        <v>6.7778508051265183</v>
      </c>
      <c r="AS47">
        <v>6.7778508051265183</v>
      </c>
    </row>
    <row r="48" spans="1:62" ht="16.2" thickBot="1" x14ac:dyDescent="0.35">
      <c r="A48" s="35" t="s">
        <v>67</v>
      </c>
      <c r="B48" s="53"/>
      <c r="C48" s="54">
        <v>39.43747946105816</v>
      </c>
      <c r="D48" s="54">
        <v>39.43747946105816</v>
      </c>
      <c r="E48" s="54">
        <v>39.43747946105816</v>
      </c>
      <c r="F48" s="54">
        <v>39.43747946105816</v>
      </c>
      <c r="G48" s="54">
        <v>39.43747946105816</v>
      </c>
      <c r="H48" s="54">
        <v>39.43747946105816</v>
      </c>
      <c r="I48" s="54">
        <v>39.43747946105816</v>
      </c>
      <c r="J48" s="54">
        <v>39.43747946105816</v>
      </c>
      <c r="K48" s="54">
        <v>39.43747946105816</v>
      </c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34">
        <f>SUM(W41:W47)</f>
        <v>103782.24449556356</v>
      </c>
      <c r="Z48">
        <v>39.43747946105816</v>
      </c>
      <c r="AA48">
        <v>39.43747946105816</v>
      </c>
      <c r="AB48">
        <v>39.43747946105816</v>
      </c>
      <c r="AC48">
        <v>39.43747946105816</v>
      </c>
      <c r="AD48">
        <v>39.43747946105816</v>
      </c>
      <c r="AE48">
        <v>39.43747946105816</v>
      </c>
      <c r="AF48">
        <v>39.43747946105816</v>
      </c>
      <c r="AG48">
        <v>39.43747946105816</v>
      </c>
      <c r="AH48">
        <v>39.43747946105816</v>
      </c>
    </row>
    <row r="49" spans="1:24" ht="16.2" thickBot="1" x14ac:dyDescent="0.35">
      <c r="A49" s="55" t="s">
        <v>68</v>
      </c>
      <c r="B49" s="56"/>
      <c r="C49" s="57">
        <f>C45-C46-C48</f>
        <v>173396.31376650254</v>
      </c>
      <c r="D49" s="57">
        <f t="shared" ref="D49:V49" si="3">D45-D46-D48</f>
        <v>121806.90813839791</v>
      </c>
      <c r="E49" s="57">
        <f t="shared" si="3"/>
        <v>86876.077064881771</v>
      </c>
      <c r="F49" s="57">
        <f t="shared" si="3"/>
        <v>14370.112339764588</v>
      </c>
      <c r="G49" s="57">
        <f t="shared" si="3"/>
        <v>13871.485091571622</v>
      </c>
      <c r="H49" s="57">
        <f t="shared" si="3"/>
        <v>4566.1138101066126</v>
      </c>
      <c r="I49" s="57">
        <f t="shared" si="3"/>
        <v>4702.0855540844295</v>
      </c>
      <c r="J49" s="57">
        <f t="shared" si="3"/>
        <v>4404.4357691434161</v>
      </c>
      <c r="K49" s="57">
        <f t="shared" si="3"/>
        <v>4699.389201800499</v>
      </c>
      <c r="L49" s="57">
        <f t="shared" si="3"/>
        <v>4729.4685231938611</v>
      </c>
      <c r="M49" s="57">
        <f t="shared" si="3"/>
        <v>4323.3438107390466</v>
      </c>
      <c r="N49" s="57">
        <f t="shared" si="3"/>
        <v>4349.5843628258035</v>
      </c>
      <c r="O49" s="57">
        <f t="shared" si="3"/>
        <v>3996.6335518833175</v>
      </c>
      <c r="P49" s="57">
        <f t="shared" si="3"/>
        <v>4002.6108974304752</v>
      </c>
      <c r="Q49" s="57">
        <f t="shared" si="3"/>
        <v>3987.645710936883</v>
      </c>
      <c r="R49" s="57">
        <f t="shared" si="3"/>
        <v>3996.6335518833175</v>
      </c>
      <c r="S49" s="57">
        <f t="shared" si="3"/>
        <v>3979.0193553667223</v>
      </c>
      <c r="T49" s="57">
        <f t="shared" si="3"/>
        <v>4005.2599074534783</v>
      </c>
      <c r="U49" s="57">
        <f t="shared" si="3"/>
        <v>3979.2247447850596</v>
      </c>
      <c r="V49" s="58">
        <f t="shared" si="3"/>
        <v>5292.2875117913027</v>
      </c>
      <c r="W49" s="31">
        <f>W48/20</f>
        <v>5189.1122247781777</v>
      </c>
    </row>
    <row r="50" spans="1:24" ht="16.2" thickBot="1" x14ac:dyDescent="0.35">
      <c r="A50" s="59" t="s">
        <v>69</v>
      </c>
      <c r="B50" s="60"/>
      <c r="C50" s="61">
        <f>((C40*20%)*27.5%)</f>
        <v>10875.508143515674</v>
      </c>
      <c r="D50" s="61">
        <f t="shared" ref="D50" si="4">((D40*20%)*27.5%)</f>
        <v>8217.8450335673569</v>
      </c>
      <c r="E50" s="61">
        <f>((E40*20%)*27.5%)</f>
        <v>5805.4939903553859</v>
      </c>
      <c r="F50" s="61">
        <f>((F40*20%)*27.5%)</f>
        <v>1569.2721861221496</v>
      </c>
      <c r="G50" s="61">
        <f t="shared" ref="G50:L50" si="5">((G40*20%)*7.5%)</f>
        <v>387.23329520778395</v>
      </c>
      <c r="H50" s="61">
        <f t="shared" si="5"/>
        <v>76.795407447359963</v>
      </c>
      <c r="I50" s="61">
        <f t="shared" si="5"/>
        <v>78.834983607027226</v>
      </c>
      <c r="J50" s="61">
        <f t="shared" si="5"/>
        <v>80.982389211321475</v>
      </c>
      <c r="K50" s="61">
        <f t="shared" si="5"/>
        <v>78.964378940579621</v>
      </c>
      <c r="L50" s="61">
        <f t="shared" si="5"/>
        <v>78.834983607027226</v>
      </c>
      <c r="M50" s="60"/>
      <c r="N50" s="60"/>
      <c r="O50" s="60"/>
      <c r="P50" s="60"/>
      <c r="Q50" s="60"/>
      <c r="R50" s="60"/>
      <c r="S50" s="60"/>
      <c r="T50" s="60"/>
      <c r="U50" s="60"/>
      <c r="V50" s="61">
        <f>((V40*20%)*7.5%)</f>
        <v>85.707826273649047</v>
      </c>
      <c r="W50" s="62"/>
    </row>
    <row r="51" spans="1:24" ht="15.6" x14ac:dyDescent="0.3">
      <c r="A51" s="63" t="s">
        <v>70</v>
      </c>
      <c r="B51" s="54"/>
      <c r="C51" s="64">
        <f t="shared" ref="C51:V51" si="6">C49-C50</f>
        <v>162520.80562298687</v>
      </c>
      <c r="D51" s="64">
        <f t="shared" si="6"/>
        <v>113589.06310483055</v>
      </c>
      <c r="E51" s="64">
        <f t="shared" si="6"/>
        <v>81070.583074526381</v>
      </c>
      <c r="F51" s="64">
        <f t="shared" si="6"/>
        <v>12800.840153642439</v>
      </c>
      <c r="G51" s="64">
        <f t="shared" si="6"/>
        <v>13484.251796363838</v>
      </c>
      <c r="H51" s="64">
        <f t="shared" si="6"/>
        <v>4489.3184026592526</v>
      </c>
      <c r="I51" s="64">
        <f t="shared" si="6"/>
        <v>4623.2505704774021</v>
      </c>
      <c r="J51" s="64">
        <f t="shared" si="6"/>
        <v>4323.4533799320943</v>
      </c>
      <c r="K51" s="64">
        <f t="shared" si="6"/>
        <v>4620.424822859919</v>
      </c>
      <c r="L51" s="64">
        <f t="shared" si="6"/>
        <v>4650.6335395868336</v>
      </c>
      <c r="M51" s="64">
        <f t="shared" si="6"/>
        <v>4323.3438107390466</v>
      </c>
      <c r="N51" s="64">
        <f t="shared" si="6"/>
        <v>4349.5843628258035</v>
      </c>
      <c r="O51" s="64">
        <f t="shared" si="6"/>
        <v>3996.6335518833175</v>
      </c>
      <c r="P51" s="64">
        <f t="shared" si="6"/>
        <v>4002.6108974304752</v>
      </c>
      <c r="Q51" s="64">
        <f t="shared" si="6"/>
        <v>3987.645710936883</v>
      </c>
      <c r="R51" s="64">
        <f t="shared" si="6"/>
        <v>3996.6335518833175</v>
      </c>
      <c r="S51" s="64">
        <f t="shared" si="6"/>
        <v>3979.0193553667223</v>
      </c>
      <c r="T51" s="64">
        <f t="shared" si="6"/>
        <v>4005.2599074534783</v>
      </c>
      <c r="U51" s="64">
        <f t="shared" si="6"/>
        <v>3979.2247447850596</v>
      </c>
      <c r="V51" s="65">
        <f t="shared" si="6"/>
        <v>5206.5796855176541</v>
      </c>
      <c r="W51" s="64"/>
    </row>
    <row r="52" spans="1:24" ht="16.2" thickBot="1" x14ac:dyDescent="0.35">
      <c r="A52" s="66" t="s">
        <v>71</v>
      </c>
      <c r="B52" s="54"/>
      <c r="C52" s="54">
        <v>39.43747946105816</v>
      </c>
      <c r="D52" s="54">
        <v>39.43747946105816</v>
      </c>
      <c r="E52" s="54">
        <v>39.43747946105816</v>
      </c>
      <c r="F52" s="54">
        <v>39.43747946105816</v>
      </c>
      <c r="G52" s="54">
        <v>39.43747946105816</v>
      </c>
      <c r="H52" s="54">
        <v>39.43747946105816</v>
      </c>
      <c r="I52" s="54">
        <v>39.43747946105816</v>
      </c>
      <c r="J52" s="54">
        <v>39.43747946105816</v>
      </c>
      <c r="K52" s="54">
        <v>39.43747946105816</v>
      </c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67"/>
      <c r="W52" s="62"/>
    </row>
    <row r="53" spans="1:24" ht="16.2" thickBot="1" x14ac:dyDescent="0.35">
      <c r="A53" s="68" t="s">
        <v>72</v>
      </c>
      <c r="B53" s="57">
        <f>B42+B43</f>
        <v>210.52415379559645</v>
      </c>
      <c r="C53" s="69">
        <f t="shared" ref="C53:V53" si="7">C51+C52</f>
        <v>162560.24310244792</v>
      </c>
      <c r="D53" s="57">
        <f t="shared" si="7"/>
        <v>113628.50058429161</v>
      </c>
      <c r="E53" s="57">
        <f t="shared" si="7"/>
        <v>81110.020553987444</v>
      </c>
      <c r="F53" s="57">
        <f t="shared" si="7"/>
        <v>12840.277633103497</v>
      </c>
      <c r="G53" s="57">
        <f t="shared" si="7"/>
        <v>13523.689275824896</v>
      </c>
      <c r="H53" s="57">
        <f t="shared" si="7"/>
        <v>4528.7558821203111</v>
      </c>
      <c r="I53" s="57">
        <f t="shared" si="7"/>
        <v>4662.6880499384606</v>
      </c>
      <c r="J53" s="57">
        <f t="shared" si="7"/>
        <v>4362.8908593931528</v>
      </c>
      <c r="K53" s="57">
        <f t="shared" si="7"/>
        <v>4659.8623023209775</v>
      </c>
      <c r="L53" s="57">
        <f t="shared" si="7"/>
        <v>4650.6335395868336</v>
      </c>
      <c r="M53" s="57">
        <f t="shared" si="7"/>
        <v>4323.3438107390466</v>
      </c>
      <c r="N53" s="57">
        <f t="shared" si="7"/>
        <v>4349.5843628258035</v>
      </c>
      <c r="O53" s="57">
        <f t="shared" si="7"/>
        <v>3996.6335518833175</v>
      </c>
      <c r="P53" s="57">
        <f t="shared" si="7"/>
        <v>4002.6108974304752</v>
      </c>
      <c r="Q53" s="57">
        <f t="shared" si="7"/>
        <v>3987.645710936883</v>
      </c>
      <c r="R53" s="57">
        <f t="shared" si="7"/>
        <v>3996.6335518833175</v>
      </c>
      <c r="S53" s="57">
        <f t="shared" si="7"/>
        <v>3979.0193553667223</v>
      </c>
      <c r="T53" s="57">
        <f t="shared" si="7"/>
        <v>4005.2599074534783</v>
      </c>
      <c r="U53" s="57">
        <f t="shared" si="7"/>
        <v>3979.2247447850596</v>
      </c>
      <c r="V53" s="58">
        <f t="shared" si="7"/>
        <v>5206.5796855176541</v>
      </c>
      <c r="W53" s="62"/>
    </row>
    <row r="54" spans="1:24" ht="16.2" thickBot="1" x14ac:dyDescent="0.35">
      <c r="A54" s="55" t="s">
        <v>73</v>
      </c>
      <c r="B54" s="70">
        <f>(B55+B56)</f>
        <v>23021.504272099897</v>
      </c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1"/>
      <c r="W54" s="62"/>
    </row>
    <row r="55" spans="1:24" ht="15.6" x14ac:dyDescent="0.3">
      <c r="A55" s="72" t="s">
        <v>74</v>
      </c>
      <c r="B55" s="54">
        <v>22592.836017088397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26"/>
    </row>
    <row r="56" spans="1:24" ht="16.2" thickBot="1" x14ac:dyDescent="0.35">
      <c r="A56" s="35" t="s">
        <v>75</v>
      </c>
      <c r="B56" s="73">
        <v>428.66825501150174</v>
      </c>
      <c r="C56" s="73"/>
      <c r="D56" s="54"/>
      <c r="E56" s="56"/>
      <c r="F56" s="54"/>
      <c r="G56" s="54"/>
      <c r="H56" s="73"/>
      <c r="I56" s="73"/>
      <c r="J56" s="73"/>
      <c r="K56" s="73"/>
      <c r="L56" s="74"/>
      <c r="M56" s="73"/>
      <c r="N56" s="74"/>
      <c r="O56" s="74"/>
      <c r="P56" s="74"/>
      <c r="Q56" s="74"/>
      <c r="R56" s="73"/>
      <c r="S56" s="74"/>
      <c r="T56" s="74"/>
      <c r="U56" s="74"/>
      <c r="V56" s="74"/>
      <c r="W56" s="34"/>
    </row>
    <row r="57" spans="1:24" s="15" customFormat="1" ht="16.2" thickBot="1" x14ac:dyDescent="0.35">
      <c r="A57" s="41" t="s">
        <v>76</v>
      </c>
      <c r="B57" s="75">
        <v>21157.385803483405</v>
      </c>
      <c r="C57" s="76"/>
      <c r="D57" s="76"/>
      <c r="E57" s="60"/>
      <c r="F57" s="60"/>
      <c r="G57" s="60"/>
      <c r="H57" s="60"/>
      <c r="I57" s="60"/>
      <c r="J57" s="60"/>
      <c r="K57" s="60"/>
      <c r="L57" s="60"/>
      <c r="M57" s="60"/>
      <c r="N57" s="77"/>
      <c r="O57" s="77"/>
      <c r="P57" s="77"/>
      <c r="Q57" s="77"/>
      <c r="R57" s="77"/>
      <c r="S57" s="77"/>
      <c r="T57" s="77"/>
      <c r="U57" s="77"/>
      <c r="V57" s="77">
        <f>W49</f>
        <v>5189.1122247781777</v>
      </c>
      <c r="W57" s="26"/>
    </row>
    <row r="58" spans="1:24" s="15" customFormat="1" ht="16.2" thickBot="1" x14ac:dyDescent="0.35">
      <c r="A58" s="55" t="s">
        <v>77</v>
      </c>
      <c r="B58" s="78">
        <f>-B53-B54-B57</f>
        <v>-44389.414229378897</v>
      </c>
      <c r="C58" s="115">
        <f>C53-C54</f>
        <v>162560.24310244792</v>
      </c>
      <c r="D58" s="115">
        <f>(D53-D54)</f>
        <v>113628.50058429161</v>
      </c>
      <c r="E58" s="116">
        <f t="shared" ref="E58:U58" si="8">(E53-E54)</f>
        <v>81110.020553987444</v>
      </c>
      <c r="F58" s="116">
        <f t="shared" si="8"/>
        <v>12840.277633103497</v>
      </c>
      <c r="G58" s="116">
        <f t="shared" si="8"/>
        <v>13523.689275824896</v>
      </c>
      <c r="H58" s="116">
        <f t="shared" si="8"/>
        <v>4528.7558821203111</v>
      </c>
      <c r="I58" s="116">
        <f t="shared" si="8"/>
        <v>4662.6880499384606</v>
      </c>
      <c r="J58" s="116">
        <f>(J53+J54)</f>
        <v>4362.8908593931528</v>
      </c>
      <c r="K58" s="116">
        <f t="shared" si="8"/>
        <v>4659.8623023209775</v>
      </c>
      <c r="L58" s="116">
        <f t="shared" si="8"/>
        <v>4650.6335395868336</v>
      </c>
      <c r="M58" s="116">
        <f t="shared" si="8"/>
        <v>4323.3438107390466</v>
      </c>
      <c r="N58" s="116">
        <f t="shared" si="8"/>
        <v>4349.5843628258035</v>
      </c>
      <c r="O58" s="116">
        <f t="shared" si="8"/>
        <v>3996.6335518833175</v>
      </c>
      <c r="P58" s="116">
        <f t="shared" si="8"/>
        <v>4002.6108974304752</v>
      </c>
      <c r="Q58" s="116">
        <f t="shared" si="8"/>
        <v>3987.645710936883</v>
      </c>
      <c r="R58" s="116">
        <f>(R53+R54)</f>
        <v>3996.6335518833175</v>
      </c>
      <c r="S58" s="116">
        <f t="shared" si="8"/>
        <v>3979.0193553667223</v>
      </c>
      <c r="T58" s="116">
        <f t="shared" si="8"/>
        <v>4005.2599074534783</v>
      </c>
      <c r="U58" s="116">
        <f t="shared" si="8"/>
        <v>3979.2247447850596</v>
      </c>
      <c r="V58" s="116">
        <f>V53+V54+V57</f>
        <v>10395.691910295831</v>
      </c>
      <c r="W58" s="26"/>
    </row>
    <row r="59" spans="1:24" s="15" customFormat="1" ht="16.2" thickBot="1" x14ac:dyDescent="0.35">
      <c r="A59" s="79" t="s">
        <v>78</v>
      </c>
      <c r="B59" s="76"/>
      <c r="C59" s="117">
        <v>871.86312849162005</v>
      </c>
      <c r="D59" s="118">
        <v>871.86312849162005</v>
      </c>
      <c r="E59" s="118">
        <v>871.86312849162005</v>
      </c>
      <c r="F59" s="118">
        <v>871.86312849162005</v>
      </c>
      <c r="G59" s="118">
        <v>871.86312849162005</v>
      </c>
      <c r="H59" s="118">
        <v>871.86312849162005</v>
      </c>
      <c r="I59" s="118">
        <v>871.86312849162005</v>
      </c>
      <c r="J59" s="118">
        <v>871.86312849162005</v>
      </c>
      <c r="K59" s="118">
        <v>871.86312849162005</v>
      </c>
      <c r="L59" s="118">
        <v>871.86312849162005</v>
      </c>
      <c r="M59" s="118">
        <v>871.86312849162005</v>
      </c>
      <c r="N59" s="118">
        <v>871.86312849162005</v>
      </c>
      <c r="O59" s="118">
        <v>3596.4354050279326</v>
      </c>
      <c r="P59" s="118">
        <v>3487.4525139664802</v>
      </c>
      <c r="Q59" s="118">
        <v>3378.4696229050273</v>
      </c>
      <c r="R59" s="118">
        <v>3269.4867318435749</v>
      </c>
      <c r="S59" s="118">
        <v>3160.5038407821226</v>
      </c>
      <c r="T59" s="118">
        <v>3051.5209497206697</v>
      </c>
      <c r="U59" s="118">
        <v>2942.5380586592173</v>
      </c>
      <c r="V59" s="119">
        <v>2833.5551675977649</v>
      </c>
      <c r="W59" s="26"/>
    </row>
    <row r="60" spans="1:24" s="15" customFormat="1" ht="16.2" thickBot="1" x14ac:dyDescent="0.35">
      <c r="A60" s="80" t="s">
        <v>79</v>
      </c>
      <c r="B60" s="81">
        <f>B58</f>
        <v>-44389.414229378897</v>
      </c>
      <c r="C60" s="120">
        <f>C58-C59</f>
        <v>161688.3799739563</v>
      </c>
      <c r="D60" s="120">
        <f>D58-D59</f>
        <v>112756.6374558</v>
      </c>
      <c r="E60" s="121">
        <f t="shared" ref="E60:U60" si="9">E58-E59</f>
        <v>80238.157425495825</v>
      </c>
      <c r="F60" s="121">
        <f t="shared" si="9"/>
        <v>11968.414504611876</v>
      </c>
      <c r="G60" s="121">
        <f t="shared" si="9"/>
        <v>12651.826147333275</v>
      </c>
      <c r="H60" s="121">
        <f t="shared" si="9"/>
        <v>3656.892753628691</v>
      </c>
      <c r="I60" s="121">
        <f t="shared" si="9"/>
        <v>3790.8249214468406</v>
      </c>
      <c r="J60" s="121">
        <f t="shared" si="9"/>
        <v>3491.0277309015328</v>
      </c>
      <c r="K60" s="121">
        <f t="shared" si="9"/>
        <v>3787.9991738293575</v>
      </c>
      <c r="L60" s="121">
        <f t="shared" si="9"/>
        <v>3778.7704110952136</v>
      </c>
      <c r="M60" s="121">
        <f t="shared" si="9"/>
        <v>3451.4806822474266</v>
      </c>
      <c r="N60" s="121">
        <f t="shared" si="9"/>
        <v>3477.7212343341835</v>
      </c>
      <c r="O60" s="121">
        <f t="shared" si="9"/>
        <v>400.19814685538495</v>
      </c>
      <c r="P60" s="121">
        <f t="shared" si="9"/>
        <v>515.15838346399505</v>
      </c>
      <c r="Q60" s="121">
        <f t="shared" si="9"/>
        <v>609.17608803185567</v>
      </c>
      <c r="R60" s="121">
        <f t="shared" si="9"/>
        <v>727.14682003974258</v>
      </c>
      <c r="S60" s="121">
        <f t="shared" si="9"/>
        <v>818.51551458459971</v>
      </c>
      <c r="T60" s="121">
        <f t="shared" si="9"/>
        <v>953.73895773280856</v>
      </c>
      <c r="U60" s="121">
        <f t="shared" si="9"/>
        <v>1036.6866861258422</v>
      </c>
      <c r="V60" s="121">
        <f>V58-V59</f>
        <v>7562.136742698066</v>
      </c>
      <c r="W60" s="82">
        <f>SUM(B60:U60)</f>
        <v>365409.33878213575</v>
      </c>
    </row>
    <row r="61" spans="1:24" s="87" customFormat="1" x14ac:dyDescent="0.3">
      <c r="A61" s="83"/>
      <c r="B61" s="84"/>
      <c r="C61" s="84"/>
      <c r="D61" s="84"/>
      <c r="E61" s="84"/>
      <c r="F61" s="84"/>
      <c r="G61" s="85"/>
      <c r="H61" s="85"/>
      <c r="I61" s="85"/>
      <c r="J61" s="85"/>
      <c r="K61" s="85"/>
      <c r="L61" s="85"/>
      <c r="M61" s="85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</row>
    <row r="62" spans="1:24" s="15" customFormat="1" thickBot="1" x14ac:dyDescent="0.3">
      <c r="A62" s="88"/>
      <c r="B62" s="89"/>
      <c r="C62" s="90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91"/>
    </row>
    <row r="63" spans="1:24" s="15" customFormat="1" thickBot="1" x14ac:dyDescent="0.3">
      <c r="A63" s="92" t="s">
        <v>80</v>
      </c>
      <c r="B63" s="93">
        <f>IRR(B60:V60)</f>
        <v>3.3297941079970732</v>
      </c>
      <c r="C63" s="94" t="s">
        <v>81</v>
      </c>
      <c r="D63" s="95"/>
      <c r="F63" s="96"/>
      <c r="G63" s="96"/>
      <c r="H63" s="96"/>
      <c r="I63" s="85"/>
      <c r="J63" s="85"/>
      <c r="K63" s="85"/>
      <c r="L63" s="85"/>
      <c r="M63" s="85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91"/>
    </row>
    <row r="64" spans="1:24" s="15" customFormat="1" thickBot="1" x14ac:dyDescent="0.3">
      <c r="A64" s="97" t="s">
        <v>82</v>
      </c>
      <c r="B64" s="98">
        <v>0.10639999999999999</v>
      </c>
      <c r="C64" s="97" t="s">
        <v>81</v>
      </c>
      <c r="F64" s="96"/>
      <c r="G64" s="96"/>
      <c r="H64" s="96"/>
      <c r="I64" s="85"/>
      <c r="J64" s="85"/>
      <c r="K64" s="85"/>
      <c r="L64" s="85"/>
      <c r="M64" s="99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</row>
    <row r="65" spans="1:6" s="15" customFormat="1" thickBot="1" x14ac:dyDescent="0.3">
      <c r="A65" s="96" t="s">
        <v>83</v>
      </c>
      <c r="B65" s="100">
        <f>NPV(B64,C60:V60)</f>
        <v>325562.52778694383</v>
      </c>
      <c r="C65" s="96"/>
      <c r="E65" s="101"/>
      <c r="F65" s="96"/>
    </row>
    <row r="66" spans="1:6" s="15" customFormat="1" ht="15" thickBot="1" x14ac:dyDescent="0.35">
      <c r="A66" s="102" t="s">
        <v>84</v>
      </c>
      <c r="B66" s="103">
        <f>NPV(B64,C60:V60)+B60</f>
        <v>281173.11355756491</v>
      </c>
      <c r="C66" s="104"/>
      <c r="F66" s="96"/>
    </row>
    <row r="67" spans="1:6" s="15" customFormat="1" ht="15" customHeight="1" thickBot="1" x14ac:dyDescent="0.3">
      <c r="A67" s="102" t="s">
        <v>85</v>
      </c>
      <c r="B67" s="105">
        <f>B65/-B60</f>
        <v>7.3342379808083162</v>
      </c>
      <c r="C67" s="122" t="s">
        <v>86</v>
      </c>
      <c r="D67" s="122"/>
      <c r="E67" s="122"/>
      <c r="F67" s="122"/>
    </row>
    <row r="68" spans="1:6" s="15" customFormat="1" ht="15" thickBot="1" x14ac:dyDescent="0.35">
      <c r="A68" s="102" t="s">
        <v>87</v>
      </c>
      <c r="B68" s="106">
        <f>(-B60/B65)*20</f>
        <v>2.7269363296274953</v>
      </c>
      <c r="C68" s="102" t="s">
        <v>88</v>
      </c>
      <c r="F68" s="85"/>
    </row>
    <row r="69" spans="1:6" s="15" customFormat="1" thickBot="1" x14ac:dyDescent="0.3">
      <c r="A69" s="97" t="s">
        <v>89</v>
      </c>
      <c r="B69" s="107">
        <f>NPV(B64,C40:V40)</f>
        <v>435133.383615684</v>
      </c>
      <c r="C69" s="108"/>
      <c r="F69" s="85"/>
    </row>
    <row r="70" spans="1:6" s="15" customFormat="1" thickBot="1" x14ac:dyDescent="0.3">
      <c r="A70" s="96" t="s">
        <v>90</v>
      </c>
      <c r="B70" s="107">
        <f>NPV(B64,C41:V41)</f>
        <v>77075.17687568198</v>
      </c>
      <c r="C70" s="109"/>
      <c r="F70" s="85"/>
    </row>
    <row r="71" spans="1:6" s="15" customFormat="1" ht="15" thickBot="1" x14ac:dyDescent="0.35">
      <c r="A71" s="104" t="s">
        <v>91</v>
      </c>
      <c r="B71" s="107">
        <f>NPV(B64,C46:V46)</f>
        <v>55.270062783722771</v>
      </c>
      <c r="C71" s="85"/>
      <c r="F71" s="85"/>
    </row>
    <row r="72" spans="1:6" s="15" customFormat="1" ht="15" thickBot="1" x14ac:dyDescent="0.35">
      <c r="A72" s="104" t="s">
        <v>92</v>
      </c>
      <c r="B72" s="107">
        <f>B70+B71</f>
        <v>77130.446938465699</v>
      </c>
      <c r="C72" s="108"/>
      <c r="F72" s="85"/>
    </row>
    <row r="73" spans="1:6" s="15" customFormat="1" ht="15" customHeight="1" thickBot="1" x14ac:dyDescent="0.3">
      <c r="A73" s="102" t="s">
        <v>93</v>
      </c>
      <c r="B73" s="110">
        <f>B69/B72</f>
        <v>5.6415255050036377</v>
      </c>
      <c r="C73" s="123" t="s">
        <v>94</v>
      </c>
      <c r="D73" s="123"/>
      <c r="E73" s="123"/>
      <c r="F73" s="123"/>
    </row>
    <row r="74" spans="1:6" s="15" customFormat="1" ht="15" thickBot="1" x14ac:dyDescent="0.35">
      <c r="A74" s="94" t="s">
        <v>95</v>
      </c>
      <c r="B74" s="103">
        <f>PMT(B64,20,-B66,0,0)</f>
        <v>34480.681188357907</v>
      </c>
      <c r="C74" s="92"/>
      <c r="E74" s="96"/>
      <c r="F74" s="96"/>
    </row>
    <row r="75" spans="1:6" s="15" customFormat="1" ht="15" thickBot="1" x14ac:dyDescent="0.35">
      <c r="A75" s="94" t="s">
        <v>96</v>
      </c>
      <c r="B75" s="111">
        <f>MIRR(B60:V60,2.5%,B64)</f>
        <v>0.22230592507986358</v>
      </c>
      <c r="C75" s="112"/>
      <c r="E75" s="96"/>
      <c r="F75" s="96"/>
    </row>
  </sheetData>
  <sheetProtection algorithmName="SHA-512" hashValue="8ckR6v98OrwWZ5/77aK2aC5NQ6hOQy4QJwiRnYiHtZDdOR7hqb06P6tT1RDzAsi7/ARSxPMNAphMxtkNPYidVw==" saltValue="OkZnWODSCfatf8hKVLylCA==" spinCount="100000" sheet="1" formatCells="0" formatColumns="0" formatRows="0" insertColumns="0" insertRows="0" insertHyperlinks="0" deleteColumns="0" deleteRows="0" sort="0" autoFilter="0" pivotTables="0"/>
  <mergeCells count="44">
    <mergeCell ref="A19:BJ19"/>
    <mergeCell ref="A1:E1"/>
    <mergeCell ref="A2:B2"/>
    <mergeCell ref="A3:B3"/>
    <mergeCell ref="A4:B4"/>
    <mergeCell ref="A5:B5"/>
    <mergeCell ref="A6:B6"/>
    <mergeCell ref="A7:B7"/>
    <mergeCell ref="A8:B8"/>
    <mergeCell ref="A9:B9"/>
    <mergeCell ref="A10:B10"/>
    <mergeCell ref="A12:B12"/>
    <mergeCell ref="A24:B24"/>
    <mergeCell ref="AJ20:AL20"/>
    <mergeCell ref="AM20:AO20"/>
    <mergeCell ref="AP20:AR20"/>
    <mergeCell ref="AS20:AU20"/>
    <mergeCell ref="R20:T20"/>
    <mergeCell ref="U20:W20"/>
    <mergeCell ref="X20:Z20"/>
    <mergeCell ref="AA20:AC20"/>
    <mergeCell ref="AD20:AF20"/>
    <mergeCell ref="AG20:AI20"/>
    <mergeCell ref="A20:B21"/>
    <mergeCell ref="C20:E20"/>
    <mergeCell ref="F20:H20"/>
    <mergeCell ref="I20:K20"/>
    <mergeCell ref="L20:N20"/>
    <mergeCell ref="BB20:BD20"/>
    <mergeCell ref="BE20:BG20"/>
    <mergeCell ref="BH20:BJ20"/>
    <mergeCell ref="A22:B22"/>
    <mergeCell ref="A23:B23"/>
    <mergeCell ref="AV20:AX20"/>
    <mergeCell ref="AY20:BA20"/>
    <mergeCell ref="O20:Q20"/>
    <mergeCell ref="C67:F67"/>
    <mergeCell ref="C73:F73"/>
    <mergeCell ref="A25:B25"/>
    <mergeCell ref="A26:B26"/>
    <mergeCell ref="A27:B27"/>
    <mergeCell ref="A28:B28"/>
    <mergeCell ref="A29:B29"/>
    <mergeCell ref="A31:B31"/>
  </mergeCells>
  <pageMargins left="0.511811024" right="0.511811024" top="0.78740157499999996" bottom="0.78740157499999996" header="0.31496062000000002" footer="0.31496062000000002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E30D6B2AA26CB419988B7DEA76133CC" ma:contentTypeVersion="15" ma:contentTypeDescription="Crie um novo documento." ma:contentTypeScope="" ma:versionID="b73760bac0e69a4c0b3226dea45793da">
  <xsd:schema xmlns:xsd="http://www.w3.org/2001/XMLSchema" xmlns:xs="http://www.w3.org/2001/XMLSchema" xmlns:p="http://schemas.microsoft.com/office/2006/metadata/properties" xmlns:ns3="6b5488a4-d119-41d4-a64a-0c5f0ae610f8" xmlns:ns4="6058f901-5547-4d86-a4b0-d799926fdd8e" targetNamespace="http://schemas.microsoft.com/office/2006/metadata/properties" ma:root="true" ma:fieldsID="f4436d655546a4cf176b20340075fd02" ns3:_="" ns4:_="">
    <xsd:import namespace="6b5488a4-d119-41d4-a64a-0c5f0ae610f8"/>
    <xsd:import namespace="6058f901-5547-4d86-a4b0-d799926fdd8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_activity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  <xsd:element ref="ns3:MediaLengthInSecond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5488a4-d119-41d4-a64a-0c5f0ae610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0" nillable="true" ma:displayName="_activity" ma:hidden="true" ma:internalName="_activity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2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58f901-5547-4d86-a4b0-d799926fdd8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6b5488a4-d119-41d4-a64a-0c5f0ae610f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136432D-E3F8-4018-A9FD-F7F0661DD4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b5488a4-d119-41d4-a64a-0c5f0ae610f8"/>
    <ds:schemaRef ds:uri="6058f901-5547-4d86-a4b0-d799926fdd8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843F7B3-04F3-415D-8007-82222B6EEB7A}">
  <ds:schemaRefs>
    <ds:schemaRef ds:uri="http://purl.org/dc/terms/"/>
    <ds:schemaRef ds:uri="http://schemas.microsoft.com/office/infopath/2007/PartnerControls"/>
    <ds:schemaRef ds:uri="http://purl.org/dc/elements/1.1/"/>
    <ds:schemaRef ds:uri="6058f901-5547-4d86-a4b0-d799926fdd8e"/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6b5488a4-d119-41d4-a64a-0c5f0ae610f8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56C5E868-9766-4169-83E8-F6C44D62E1A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MAURICIO HIROYUKI KUBO</dc:creator>
  <cp:keywords/>
  <dc:description/>
  <cp:lastModifiedBy>MAURICIO HIROYUKI KUBO</cp:lastModifiedBy>
  <cp:revision/>
  <dcterms:created xsi:type="dcterms:W3CDTF">2024-01-03T19:31:22Z</dcterms:created>
  <dcterms:modified xsi:type="dcterms:W3CDTF">2025-03-01T20:23:38Z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0x010100AE30D6B2AA26CB419988B7DEA76133CC</vt:lpwstr>
  </property>
</Properties>
</file>