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no1\OneDrive\Documentos\6. Artículos publicados\2025, Cano et al. NatComms-Nati\1. Entrega\NatComms\V4\Appendices\"/>
    </mc:Choice>
  </mc:AlternateContent>
  <xr:revisionPtr revIDLastSave="0" documentId="13_ncr:1_{FADFAFA4-18A9-4C29-977E-FCE43C4BCFE1}" xr6:coauthVersionLast="47" xr6:coauthVersionMax="47" xr10:uidLastSave="{00000000-0000-0000-0000-000000000000}"/>
  <bookViews>
    <workbookView xWindow="-110" yWindow="-110" windowWidth="19420" windowHeight="11020" xr2:uid="{69A028E1-485B-498A-B6A8-1F63FD1C8807}"/>
  </bookViews>
  <sheets>
    <sheet name="Fluidization &amp; settling veloc." sheetId="1" r:id="rId1"/>
    <sheet name="Pressure gradient" sheetId="5" r:id="rId2"/>
    <sheet name="Fluid viscosity" sheetId="4" r:id="rId3"/>
    <sheet name="Fluid density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5" l="1"/>
  <c r="D11" i="5"/>
  <c r="AK38" i="1" l="1"/>
  <c r="AL36" i="1"/>
  <c r="AM23" i="1"/>
  <c r="AM11" i="1"/>
  <c r="AM12" i="1"/>
  <c r="AM13" i="1"/>
  <c r="AM14" i="1"/>
  <c r="AM15" i="1"/>
  <c r="AM16" i="1"/>
  <c r="AM17" i="1"/>
  <c r="AM18" i="1"/>
  <c r="AM10" i="1"/>
  <c r="AM45" i="1"/>
  <c r="AM44" i="1"/>
  <c r="AM43" i="1"/>
  <c r="AM42" i="1"/>
  <c r="AM41" i="1"/>
  <c r="AM40" i="1"/>
  <c r="AM39" i="1"/>
  <c r="AI39" i="1"/>
  <c r="AJ39" i="1" s="1"/>
  <c r="AK39" i="1" s="1"/>
  <c r="AM38" i="1"/>
  <c r="AI38" i="1"/>
  <c r="AJ38" i="1" s="1"/>
  <c r="AL38" i="1" s="1"/>
  <c r="AM37" i="1"/>
  <c r="AI37" i="1"/>
  <c r="AJ37" i="1" s="1"/>
  <c r="AM36" i="1"/>
  <c r="AJ36" i="1"/>
  <c r="AK36" i="1" s="1"/>
  <c r="AM32" i="1"/>
  <c r="AM31" i="1"/>
  <c r="AM30" i="1"/>
  <c r="AM29" i="1"/>
  <c r="AM28" i="1"/>
  <c r="AM27" i="1"/>
  <c r="AM26" i="1"/>
  <c r="AM25" i="1"/>
  <c r="AI25" i="1"/>
  <c r="AJ25" i="1" s="1"/>
  <c r="AL25" i="1" s="1"/>
  <c r="AM24" i="1"/>
  <c r="AI24" i="1"/>
  <c r="AJ24" i="1" s="1"/>
  <c r="AJ23" i="1"/>
  <c r="AL23" i="1" s="1"/>
  <c r="AM19" i="1"/>
  <c r="AI12" i="1"/>
  <c r="AI14" i="1" s="1"/>
  <c r="AI11" i="1"/>
  <c r="AJ11" i="1" s="1"/>
  <c r="AL11" i="1" s="1"/>
  <c r="AJ10" i="1"/>
  <c r="AL10" i="1" s="1"/>
  <c r="AL37" i="1" l="1"/>
  <c r="AK37" i="1"/>
  <c r="AL24" i="1"/>
  <c r="AK24" i="1"/>
  <c r="AK11" i="1"/>
  <c r="AN11" i="1" s="1"/>
  <c r="AL39" i="1"/>
  <c r="AI13" i="1"/>
  <c r="AJ13" i="1" s="1"/>
  <c r="AI26" i="1"/>
  <c r="AJ26" i="1" s="1"/>
  <c r="AI40" i="1"/>
  <c r="AK10" i="1"/>
  <c r="AN10" i="1" s="1"/>
  <c r="AK23" i="1"/>
  <c r="AK25" i="1"/>
  <c r="AO10" i="1"/>
  <c r="AN37" i="1"/>
  <c r="AI16" i="1"/>
  <c r="AI15" i="1"/>
  <c r="AJ15" i="1" s="1"/>
  <c r="AJ14" i="1"/>
  <c r="AN36" i="1"/>
  <c r="AO36" i="1"/>
  <c r="AI27" i="1"/>
  <c r="AO37" i="1"/>
  <c r="AJ12" i="1"/>
  <c r="AJ40" i="1"/>
  <c r="AL14" i="1" l="1"/>
  <c r="AK14" i="1"/>
  <c r="AK15" i="1"/>
  <c r="AL15" i="1"/>
  <c r="AI42" i="1"/>
  <c r="AI41" i="1"/>
  <c r="AJ41" i="1" s="1"/>
  <c r="AL40" i="1"/>
  <c r="AK40" i="1"/>
  <c r="AK12" i="1"/>
  <c r="AL12" i="1"/>
  <c r="AK26" i="1"/>
  <c r="AL26" i="1"/>
  <c r="AK13" i="1"/>
  <c r="AL13" i="1"/>
  <c r="AO13" i="1"/>
  <c r="AN13" i="1"/>
  <c r="AJ16" i="1"/>
  <c r="AI17" i="1"/>
  <c r="AJ17" i="1" s="1"/>
  <c r="AI18" i="1"/>
  <c r="AI29" i="1"/>
  <c r="AJ27" i="1"/>
  <c r="AI28" i="1"/>
  <c r="AJ28" i="1" s="1"/>
  <c r="AN39" i="1"/>
  <c r="AO39" i="1"/>
  <c r="AO24" i="1"/>
  <c r="AN24" i="1"/>
  <c r="AO26" i="1"/>
  <c r="AN26" i="1"/>
  <c r="AO25" i="1"/>
  <c r="AN25" i="1"/>
  <c r="AO11" i="1"/>
  <c r="AO38" i="1"/>
  <c r="AN38" i="1"/>
  <c r="AO23" i="1"/>
  <c r="AN23" i="1"/>
  <c r="AK27" i="1" l="1"/>
  <c r="AL27" i="1"/>
  <c r="AL28" i="1"/>
  <c r="AK28" i="1"/>
  <c r="AI43" i="1"/>
  <c r="AJ43" i="1" s="1"/>
  <c r="AJ42" i="1"/>
  <c r="AI44" i="1"/>
  <c r="AK17" i="1"/>
  <c r="AL17" i="1"/>
  <c r="AL41" i="1"/>
  <c r="AK41" i="1"/>
  <c r="AK16" i="1"/>
  <c r="AL16" i="1"/>
  <c r="AO12" i="1"/>
  <c r="AN12" i="1"/>
  <c r="AO15" i="1"/>
  <c r="AN15" i="1"/>
  <c r="AJ29" i="1"/>
  <c r="AI30" i="1"/>
  <c r="AJ30" i="1" s="1"/>
  <c r="AI31" i="1"/>
  <c r="AO14" i="1"/>
  <c r="AN14" i="1"/>
  <c r="AI19" i="1"/>
  <c r="AJ19" i="1" s="1"/>
  <c r="AJ18" i="1"/>
  <c r="AO40" i="1"/>
  <c r="AN40" i="1"/>
  <c r="AK19" i="1" l="1"/>
  <c r="AL19" i="1"/>
  <c r="AN19" i="1" s="1"/>
  <c r="AK42" i="1"/>
  <c r="AL42" i="1"/>
  <c r="AK43" i="1"/>
  <c r="AL43" i="1"/>
  <c r="AK18" i="1"/>
  <c r="AL18" i="1"/>
  <c r="AI45" i="1"/>
  <c r="AJ45" i="1" s="1"/>
  <c r="AJ44" i="1"/>
  <c r="AK30" i="1"/>
  <c r="AL30" i="1"/>
  <c r="AL29" i="1"/>
  <c r="AK29" i="1"/>
  <c r="AN41" i="1"/>
  <c r="H11" i="5" s="1"/>
  <c r="AO41" i="1"/>
  <c r="AO27" i="1"/>
  <c r="AN27" i="1"/>
  <c r="AN17" i="1"/>
  <c r="AO17" i="1"/>
  <c r="AN16" i="1"/>
  <c r="AO16" i="1"/>
  <c r="AI32" i="1"/>
  <c r="AJ32" i="1" s="1"/>
  <c r="AJ31" i="1"/>
  <c r="AO28" i="1"/>
  <c r="AN28" i="1"/>
  <c r="J11" i="5" l="1"/>
  <c r="P11" i="5"/>
  <c r="I11" i="5"/>
  <c r="K11" i="5" s="1"/>
  <c r="AO43" i="1"/>
  <c r="AN43" i="1"/>
  <c r="AK31" i="1"/>
  <c r="AL31" i="1"/>
  <c r="AK32" i="1"/>
  <c r="AL32" i="1"/>
  <c r="AL44" i="1"/>
  <c r="AK44" i="1"/>
  <c r="AO42" i="1"/>
  <c r="AN42" i="1"/>
  <c r="AK45" i="1"/>
  <c r="AL45" i="1"/>
  <c r="AO30" i="1"/>
  <c r="AN30" i="1"/>
  <c r="AO19" i="1"/>
  <c r="AN29" i="1"/>
  <c r="AO29" i="1"/>
  <c r="AN18" i="1"/>
  <c r="AO18" i="1"/>
  <c r="AN45" i="1" l="1"/>
  <c r="AO45" i="1"/>
  <c r="L11" i="5"/>
  <c r="M11" i="5"/>
  <c r="AO44" i="1"/>
  <c r="AN44" i="1"/>
  <c r="AO32" i="1"/>
  <c r="AN32" i="1"/>
  <c r="AO31" i="1"/>
  <c r="AN31" i="1"/>
  <c r="G10" i="5" l="1"/>
  <c r="G9" i="5"/>
  <c r="G8" i="5"/>
  <c r="D9" i="5" l="1"/>
  <c r="D10" i="5"/>
  <c r="D8" i="5"/>
  <c r="AE45" i="1" l="1"/>
  <c r="W45" i="1"/>
  <c r="L45" i="1"/>
  <c r="AE44" i="1"/>
  <c r="W44" i="1"/>
  <c r="L44" i="1"/>
  <c r="AE43" i="1"/>
  <c r="W43" i="1"/>
  <c r="L43" i="1"/>
  <c r="AE42" i="1"/>
  <c r="W42" i="1"/>
  <c r="L42" i="1"/>
  <c r="AE41" i="1"/>
  <c r="W41" i="1"/>
  <c r="L41" i="1"/>
  <c r="AE40" i="1"/>
  <c r="W40" i="1"/>
  <c r="L40" i="1"/>
  <c r="AE39" i="1"/>
  <c r="W39" i="1"/>
  <c r="L39" i="1"/>
  <c r="AE38" i="1"/>
  <c r="AA38" i="1"/>
  <c r="AA39" i="1" s="1"/>
  <c r="AB39" i="1" s="1"/>
  <c r="W38" i="1"/>
  <c r="S38" i="1"/>
  <c r="S40" i="1" s="1"/>
  <c r="S42" i="1" s="1"/>
  <c r="L38" i="1"/>
  <c r="H38" i="1"/>
  <c r="I38" i="1" s="1"/>
  <c r="J38" i="1" s="1"/>
  <c r="AE37" i="1"/>
  <c r="AA37" i="1"/>
  <c r="AB37" i="1" s="1"/>
  <c r="W37" i="1"/>
  <c r="S37" i="1"/>
  <c r="L37" i="1"/>
  <c r="H37" i="1"/>
  <c r="I37" i="1" s="1"/>
  <c r="K37" i="1" s="1"/>
  <c r="AE36" i="1"/>
  <c r="AB36" i="1"/>
  <c r="W36" i="1"/>
  <c r="T36" i="1"/>
  <c r="T38" i="1" s="1"/>
  <c r="V38" i="1" s="1"/>
  <c r="L36" i="1"/>
  <c r="I36" i="1"/>
  <c r="K36" i="1" s="1"/>
  <c r="AE32" i="1"/>
  <c r="W32" i="1"/>
  <c r="L32" i="1"/>
  <c r="AE31" i="1"/>
  <c r="W31" i="1"/>
  <c r="L31" i="1"/>
  <c r="AE30" i="1"/>
  <c r="W30" i="1"/>
  <c r="L30" i="1"/>
  <c r="AE29" i="1"/>
  <c r="W29" i="1"/>
  <c r="L29" i="1"/>
  <c r="AE28" i="1"/>
  <c r="W28" i="1"/>
  <c r="L28" i="1"/>
  <c r="AE27" i="1"/>
  <c r="W27" i="1"/>
  <c r="L27" i="1"/>
  <c r="AE26" i="1"/>
  <c r="W26" i="1"/>
  <c r="L26" i="1"/>
  <c r="AE25" i="1"/>
  <c r="AA25" i="1"/>
  <c r="AA27" i="1" s="1"/>
  <c r="AB27" i="1" s="1"/>
  <c r="AD27" i="1" s="1"/>
  <c r="W25" i="1"/>
  <c r="S25" i="1"/>
  <c r="S27" i="1" s="1"/>
  <c r="S29" i="1" s="1"/>
  <c r="L25" i="1"/>
  <c r="H25" i="1"/>
  <c r="I25" i="1" s="1"/>
  <c r="K25" i="1" s="1"/>
  <c r="AE24" i="1"/>
  <c r="AA24" i="1"/>
  <c r="AB24" i="1" s="1"/>
  <c r="AD24" i="1" s="1"/>
  <c r="W24" i="1"/>
  <c r="S24" i="1"/>
  <c r="L24" i="1"/>
  <c r="H24" i="1"/>
  <c r="I24" i="1" s="1"/>
  <c r="AE23" i="1"/>
  <c r="AB23" i="1"/>
  <c r="AD23" i="1" s="1"/>
  <c r="W23" i="1"/>
  <c r="T23" i="1"/>
  <c r="U23" i="1" s="1"/>
  <c r="L23" i="1"/>
  <c r="I23" i="1"/>
  <c r="AE19" i="1"/>
  <c r="W19" i="1"/>
  <c r="L19" i="1"/>
  <c r="AE18" i="1"/>
  <c r="W18" i="1"/>
  <c r="L18" i="1"/>
  <c r="AE17" i="1"/>
  <c r="W17" i="1"/>
  <c r="L17" i="1"/>
  <c r="AE16" i="1"/>
  <c r="W16" i="1"/>
  <c r="L16" i="1"/>
  <c r="AE15" i="1"/>
  <c r="W15" i="1"/>
  <c r="L15" i="1"/>
  <c r="AE14" i="1"/>
  <c r="W14" i="1"/>
  <c r="L14" i="1"/>
  <c r="AE13" i="1"/>
  <c r="W13" i="1"/>
  <c r="L13" i="1"/>
  <c r="AE12" i="1"/>
  <c r="AA12" i="1"/>
  <c r="AA13" i="1" s="1"/>
  <c r="AB13" i="1" s="1"/>
  <c r="W12" i="1"/>
  <c r="S12" i="1"/>
  <c r="S13" i="1" s="1"/>
  <c r="L12" i="1"/>
  <c r="H12" i="1"/>
  <c r="AE11" i="1"/>
  <c r="AA11" i="1"/>
  <c r="AB11" i="1" s="1"/>
  <c r="W11" i="1"/>
  <c r="S11" i="1"/>
  <c r="L11" i="1"/>
  <c r="H11" i="1"/>
  <c r="I11" i="1" s="1"/>
  <c r="AE10" i="1"/>
  <c r="AB10" i="1"/>
  <c r="AD10" i="1" s="1"/>
  <c r="W10" i="1"/>
  <c r="T10" i="1"/>
  <c r="T12" i="1" s="1"/>
  <c r="V12" i="1" s="1"/>
  <c r="L10" i="1"/>
  <c r="I10" i="1"/>
  <c r="K10" i="1" s="1"/>
  <c r="J25" i="1" l="1"/>
  <c r="N25" i="1" s="1"/>
  <c r="S39" i="1"/>
  <c r="Q10" i="1"/>
  <c r="J36" i="1"/>
  <c r="N36" i="1" s="1"/>
  <c r="O36" i="1"/>
  <c r="S31" i="1"/>
  <c r="S32" i="1" s="1"/>
  <c r="S30" i="1"/>
  <c r="AB12" i="1"/>
  <c r="AD12" i="1" s="1"/>
  <c r="O24" i="1"/>
  <c r="S26" i="1"/>
  <c r="O25" i="1"/>
  <c r="H39" i="1"/>
  <c r="I39" i="1" s="1"/>
  <c r="Q39" i="1" s="1"/>
  <c r="AA40" i="1"/>
  <c r="AB25" i="1"/>
  <c r="AD25" i="1" s="1"/>
  <c r="U36" i="1"/>
  <c r="O37" i="1"/>
  <c r="V36" i="1"/>
  <c r="P37" i="1"/>
  <c r="AA14" i="1"/>
  <c r="AA15" i="1" s="1"/>
  <c r="AB15" i="1" s="1"/>
  <c r="AD15" i="1" s="1"/>
  <c r="H40" i="1"/>
  <c r="H42" i="1" s="1"/>
  <c r="H43" i="1" s="1"/>
  <c r="I43" i="1" s="1"/>
  <c r="P36" i="1"/>
  <c r="Q36" i="1"/>
  <c r="O10" i="1"/>
  <c r="P10" i="1"/>
  <c r="Q23" i="1"/>
  <c r="AD39" i="1"/>
  <c r="AC39" i="1"/>
  <c r="AD37" i="1"/>
  <c r="AC37" i="1"/>
  <c r="AC27" i="1"/>
  <c r="AG27" i="1" s="1"/>
  <c r="H13" i="1"/>
  <c r="I13" i="1" s="1"/>
  <c r="I12" i="1"/>
  <c r="S44" i="1"/>
  <c r="S45" i="1" s="1"/>
  <c r="S43" i="1"/>
  <c r="AC24" i="1"/>
  <c r="AF24" i="1" s="1"/>
  <c r="K38" i="1"/>
  <c r="M38" i="1" s="1"/>
  <c r="Q38" i="1"/>
  <c r="P38" i="1"/>
  <c r="O38" i="1"/>
  <c r="AC10" i="1"/>
  <c r="AF10" i="1" s="1"/>
  <c r="H14" i="1"/>
  <c r="T25" i="1"/>
  <c r="T24" i="1"/>
  <c r="V23" i="1"/>
  <c r="Y23" i="1" s="1"/>
  <c r="U38" i="1"/>
  <c r="X38" i="1" s="1"/>
  <c r="T40" i="1"/>
  <c r="T39" i="1"/>
  <c r="P11" i="1"/>
  <c r="Q11" i="1"/>
  <c r="O11" i="1"/>
  <c r="O23" i="1"/>
  <c r="P23" i="1"/>
  <c r="K23" i="1"/>
  <c r="J23" i="1"/>
  <c r="AD11" i="1"/>
  <c r="AC11" i="1"/>
  <c r="J11" i="1"/>
  <c r="K11" i="1"/>
  <c r="AD13" i="1"/>
  <c r="AC13" i="1"/>
  <c r="S14" i="1"/>
  <c r="Q24" i="1"/>
  <c r="P24" i="1"/>
  <c r="Q37" i="1"/>
  <c r="J24" i="1"/>
  <c r="AA29" i="1"/>
  <c r="AA28" i="1"/>
  <c r="AB28" i="1" s="1"/>
  <c r="T14" i="1"/>
  <c r="V10" i="1"/>
  <c r="U10" i="1"/>
  <c r="S28" i="1"/>
  <c r="J37" i="1"/>
  <c r="N37" i="1" s="1"/>
  <c r="AB38" i="1"/>
  <c r="S41" i="1"/>
  <c r="AC23" i="1"/>
  <c r="U12" i="1"/>
  <c r="Y12" i="1" s="1"/>
  <c r="K24" i="1"/>
  <c r="J10" i="1"/>
  <c r="T11" i="1"/>
  <c r="T13" i="1"/>
  <c r="Q25" i="1"/>
  <c r="P25" i="1"/>
  <c r="AD36" i="1"/>
  <c r="AC36" i="1"/>
  <c r="H26" i="1"/>
  <c r="I26" i="1" s="1"/>
  <c r="H27" i="1"/>
  <c r="T37" i="1"/>
  <c r="AA26" i="1"/>
  <c r="AB26" i="1" s="1"/>
  <c r="X10" i="1" l="1"/>
  <c r="M37" i="1"/>
  <c r="M25" i="1"/>
  <c r="M36" i="1"/>
  <c r="AC25" i="1"/>
  <c r="AG25" i="1" s="1"/>
  <c r="H41" i="1"/>
  <c r="I41" i="1" s="1"/>
  <c r="J41" i="1" s="1"/>
  <c r="Y36" i="1"/>
  <c r="Y38" i="1"/>
  <c r="Y10" i="1"/>
  <c r="H44" i="1"/>
  <c r="I44" i="1" s="1"/>
  <c r="I42" i="1"/>
  <c r="K42" i="1" s="1"/>
  <c r="J39" i="1"/>
  <c r="O39" i="1"/>
  <c r="K39" i="1"/>
  <c r="M39" i="1" s="1"/>
  <c r="I40" i="1"/>
  <c r="K40" i="1" s="1"/>
  <c r="AC12" i="1"/>
  <c r="AG12" i="1" s="1"/>
  <c r="AB14" i="1"/>
  <c r="AC14" i="1" s="1"/>
  <c r="AA16" i="1"/>
  <c r="AA17" i="1" s="1"/>
  <c r="AB17" i="1" s="1"/>
  <c r="AC15" i="1"/>
  <c r="AF15" i="1" s="1"/>
  <c r="X36" i="1"/>
  <c r="AA42" i="1"/>
  <c r="AB40" i="1"/>
  <c r="AA41" i="1"/>
  <c r="AB41" i="1" s="1"/>
  <c r="AD41" i="1" s="1"/>
  <c r="P39" i="1"/>
  <c r="AG10" i="1"/>
  <c r="X12" i="1"/>
  <c r="AG36" i="1"/>
  <c r="AF36" i="1"/>
  <c r="AG23" i="1"/>
  <c r="AF23" i="1"/>
  <c r="T27" i="1"/>
  <c r="T26" i="1"/>
  <c r="U25" i="1"/>
  <c r="V25" i="1"/>
  <c r="N11" i="1"/>
  <c r="M11" i="1"/>
  <c r="K43" i="1"/>
  <c r="J43" i="1"/>
  <c r="P43" i="1"/>
  <c r="Q43" i="1"/>
  <c r="O43" i="1"/>
  <c r="H15" i="1"/>
  <c r="I15" i="1" s="1"/>
  <c r="I14" i="1"/>
  <c r="H16" i="1"/>
  <c r="AC26" i="1"/>
  <c r="AD26" i="1"/>
  <c r="V13" i="1"/>
  <c r="U13" i="1"/>
  <c r="AF25" i="1"/>
  <c r="V24" i="1"/>
  <c r="U24" i="1"/>
  <c r="AG39" i="1"/>
  <c r="AF39" i="1"/>
  <c r="K41" i="1"/>
  <c r="Q41" i="1"/>
  <c r="P41" i="1"/>
  <c r="AF11" i="1"/>
  <c r="AG11" i="1"/>
  <c r="AF27" i="1"/>
  <c r="V40" i="1"/>
  <c r="U40" i="1"/>
  <c r="T42" i="1"/>
  <c r="T41" i="1"/>
  <c r="AF13" i="1"/>
  <c r="AG13" i="1"/>
  <c r="N38" i="1"/>
  <c r="U37" i="1"/>
  <c r="V37" i="1"/>
  <c r="U39" i="1"/>
  <c r="V39" i="1"/>
  <c r="Y39" i="1" s="1"/>
  <c r="I27" i="1"/>
  <c r="H29" i="1"/>
  <c r="H28" i="1"/>
  <c r="I28" i="1" s="1"/>
  <c r="M10" i="1"/>
  <c r="N10" i="1"/>
  <c r="V14" i="1"/>
  <c r="T15" i="1"/>
  <c r="U14" i="1"/>
  <c r="T16" i="1"/>
  <c r="Q26" i="1"/>
  <c r="P26" i="1"/>
  <c r="K26" i="1"/>
  <c r="J26" i="1"/>
  <c r="O26" i="1"/>
  <c r="M24" i="1"/>
  <c r="N24" i="1"/>
  <c r="AD38" i="1"/>
  <c r="AC38" i="1"/>
  <c r="AD28" i="1"/>
  <c r="AC28" i="1"/>
  <c r="AG24" i="1"/>
  <c r="N23" i="1"/>
  <c r="M23" i="1"/>
  <c r="O12" i="1"/>
  <c r="K12" i="1"/>
  <c r="J12" i="1"/>
  <c r="P12" i="1"/>
  <c r="Q12" i="1"/>
  <c r="Q13" i="1"/>
  <c r="P13" i="1"/>
  <c r="O13" i="1"/>
  <c r="K13" i="1"/>
  <c r="J13" i="1"/>
  <c r="V11" i="1"/>
  <c r="U11" i="1"/>
  <c r="AA31" i="1"/>
  <c r="AA30" i="1"/>
  <c r="AB30" i="1" s="1"/>
  <c r="AB29" i="1"/>
  <c r="S15" i="1"/>
  <c r="S16" i="1"/>
  <c r="X23" i="1"/>
  <c r="AG37" i="1"/>
  <c r="AF37" i="1"/>
  <c r="M26" i="1" l="1"/>
  <c r="H45" i="1"/>
  <c r="I45" i="1" s="1"/>
  <c r="X11" i="1"/>
  <c r="O41" i="1"/>
  <c r="O40" i="1"/>
  <c r="M41" i="1"/>
  <c r="H8" i="5" s="1"/>
  <c r="P8" i="5" s="1"/>
  <c r="I8" i="5"/>
  <c r="J42" i="1"/>
  <c r="N42" i="1" s="1"/>
  <c r="Q42" i="1"/>
  <c r="N39" i="1"/>
  <c r="Y40" i="1"/>
  <c r="Y14" i="1"/>
  <c r="P40" i="1"/>
  <c r="Y37" i="1"/>
  <c r="Q40" i="1"/>
  <c r="O42" i="1"/>
  <c r="J40" i="1"/>
  <c r="M40" i="1" s="1"/>
  <c r="P42" i="1"/>
  <c r="Y24" i="1"/>
  <c r="Y13" i="1"/>
  <c r="Y11" i="1"/>
  <c r="Y25" i="1"/>
  <c r="AG15" i="1"/>
  <c r="AD14" i="1"/>
  <c r="AG14" i="1" s="1"/>
  <c r="AB16" i="1"/>
  <c r="AC16" i="1" s="1"/>
  <c r="AA18" i="1"/>
  <c r="AA19" i="1" s="1"/>
  <c r="AB19" i="1" s="1"/>
  <c r="AF12" i="1"/>
  <c r="AC41" i="1"/>
  <c r="AF41" i="1" s="1"/>
  <c r="H10" i="5" s="1"/>
  <c r="P10" i="5" s="1"/>
  <c r="AC40" i="1"/>
  <c r="AD40" i="1"/>
  <c r="AB42" i="1"/>
  <c r="AA43" i="1"/>
  <c r="AB43" i="1" s="1"/>
  <c r="AA44" i="1"/>
  <c r="H17" i="1"/>
  <c r="I17" i="1" s="1"/>
  <c r="I16" i="1"/>
  <c r="H18" i="1"/>
  <c r="V26" i="1"/>
  <c r="U26" i="1"/>
  <c r="V15" i="1"/>
  <c r="U15" i="1"/>
  <c r="K44" i="1"/>
  <c r="J44" i="1"/>
  <c r="O44" i="1"/>
  <c r="Q44" i="1"/>
  <c r="P44" i="1"/>
  <c r="X25" i="1"/>
  <c r="AA32" i="1"/>
  <c r="AB32" i="1" s="1"/>
  <c r="AB31" i="1"/>
  <c r="X39" i="1"/>
  <c r="N26" i="1"/>
  <c r="V41" i="1"/>
  <c r="U41" i="1"/>
  <c r="X24" i="1"/>
  <c r="O14" i="1"/>
  <c r="K14" i="1"/>
  <c r="J14" i="1"/>
  <c r="Q14" i="1"/>
  <c r="P14" i="1"/>
  <c r="M43" i="1"/>
  <c r="N43" i="1"/>
  <c r="U27" i="1"/>
  <c r="T28" i="1"/>
  <c r="V27" i="1"/>
  <c r="T29" i="1"/>
  <c r="AD30" i="1"/>
  <c r="AC30" i="1"/>
  <c r="X14" i="1"/>
  <c r="N12" i="1"/>
  <c r="M12" i="1"/>
  <c r="AF28" i="1"/>
  <c r="AG28" i="1"/>
  <c r="Q28" i="1"/>
  <c r="P28" i="1"/>
  <c r="J28" i="1"/>
  <c r="O28" i="1"/>
  <c r="K28" i="1"/>
  <c r="M28" i="1" s="1"/>
  <c r="V42" i="1"/>
  <c r="U42" i="1"/>
  <c r="T44" i="1"/>
  <c r="T43" i="1"/>
  <c r="N41" i="1"/>
  <c r="AD17" i="1"/>
  <c r="AC17" i="1"/>
  <c r="Q15" i="1"/>
  <c r="P15" i="1"/>
  <c r="O15" i="1"/>
  <c r="K15" i="1"/>
  <c r="J15" i="1"/>
  <c r="X37" i="1"/>
  <c r="AF38" i="1"/>
  <c r="AG38" i="1"/>
  <c r="AG26" i="1"/>
  <c r="AF26" i="1"/>
  <c r="S17" i="1"/>
  <c r="S18" i="1"/>
  <c r="S19" i="1" s="1"/>
  <c r="N13" i="1"/>
  <c r="M13" i="1"/>
  <c r="I29" i="1"/>
  <c r="H31" i="1"/>
  <c r="H30" i="1"/>
  <c r="I30" i="1" s="1"/>
  <c r="X13" i="1"/>
  <c r="V16" i="1"/>
  <c r="T17" i="1"/>
  <c r="U16" i="1"/>
  <c r="T18" i="1"/>
  <c r="Q27" i="1"/>
  <c r="P27" i="1"/>
  <c r="K27" i="1"/>
  <c r="J27" i="1"/>
  <c r="O27" i="1"/>
  <c r="X40" i="1"/>
  <c r="AD29" i="1"/>
  <c r="AC29" i="1"/>
  <c r="K45" i="1"/>
  <c r="J45" i="1"/>
  <c r="Q45" i="1"/>
  <c r="P45" i="1"/>
  <c r="O45" i="1"/>
  <c r="J8" i="5" l="1"/>
  <c r="K8" i="5" s="1"/>
  <c r="M27" i="1"/>
  <c r="M42" i="1"/>
  <c r="J10" i="5"/>
  <c r="I10" i="5"/>
  <c r="Y16" i="1"/>
  <c r="AF14" i="1"/>
  <c r="N40" i="1"/>
  <c r="Y27" i="1"/>
  <c r="Y26" i="1"/>
  <c r="Y15" i="1"/>
  <c r="Y42" i="1"/>
  <c r="Y41" i="1"/>
  <c r="AD16" i="1"/>
  <c r="AF16" i="1" s="1"/>
  <c r="AB18" i="1"/>
  <c r="AD18" i="1" s="1"/>
  <c r="AG41" i="1"/>
  <c r="AA45" i="1"/>
  <c r="AB45" i="1" s="1"/>
  <c r="AB44" i="1"/>
  <c r="AC43" i="1"/>
  <c r="AD43" i="1"/>
  <c r="AC42" i="1"/>
  <c r="AD42" i="1"/>
  <c r="AG40" i="1"/>
  <c r="AF40" i="1"/>
  <c r="M45" i="1"/>
  <c r="N45" i="1"/>
  <c r="X15" i="1"/>
  <c r="X41" i="1"/>
  <c r="H9" i="5" s="1"/>
  <c r="P9" i="5" s="1"/>
  <c r="N15" i="1"/>
  <c r="M15" i="1"/>
  <c r="V43" i="1"/>
  <c r="U43" i="1"/>
  <c r="X27" i="1"/>
  <c r="N14" i="1"/>
  <c r="M14" i="1"/>
  <c r="X26" i="1"/>
  <c r="N27" i="1"/>
  <c r="V44" i="1"/>
  <c r="U44" i="1"/>
  <c r="T45" i="1"/>
  <c r="U28" i="1"/>
  <c r="V28" i="1"/>
  <c r="H19" i="1"/>
  <c r="I19" i="1" s="1"/>
  <c r="I18" i="1"/>
  <c r="O16" i="1"/>
  <c r="K16" i="1"/>
  <c r="J16" i="1"/>
  <c r="P16" i="1"/>
  <c r="Q16" i="1"/>
  <c r="I31" i="1"/>
  <c r="H32" i="1"/>
  <c r="I32" i="1" s="1"/>
  <c r="AD19" i="1"/>
  <c r="AC19" i="1"/>
  <c r="Q17" i="1"/>
  <c r="P17" i="1"/>
  <c r="O17" i="1"/>
  <c r="J17" i="1"/>
  <c r="K17" i="1"/>
  <c r="AG30" i="1"/>
  <c r="AF30" i="1"/>
  <c r="X16" i="1"/>
  <c r="T31" i="1"/>
  <c r="V29" i="1"/>
  <c r="U29" i="1"/>
  <c r="T30" i="1"/>
  <c r="AG29" i="1"/>
  <c r="AF29" i="1"/>
  <c r="Q30" i="1"/>
  <c r="P30" i="1"/>
  <c r="K30" i="1"/>
  <c r="J30" i="1"/>
  <c r="O30" i="1"/>
  <c r="X42" i="1"/>
  <c r="V18" i="1"/>
  <c r="T19" i="1"/>
  <c r="U18" i="1"/>
  <c r="Q29" i="1"/>
  <c r="P29" i="1"/>
  <c r="O29" i="1"/>
  <c r="K29" i="1"/>
  <c r="J29" i="1"/>
  <c r="N28" i="1"/>
  <c r="AD31" i="1"/>
  <c r="AC31" i="1"/>
  <c r="M44" i="1"/>
  <c r="N44" i="1"/>
  <c r="V17" i="1"/>
  <c r="U17" i="1"/>
  <c r="AF17" i="1"/>
  <c r="AG17" i="1"/>
  <c r="AD32" i="1"/>
  <c r="AC32" i="1"/>
  <c r="L8" i="5" l="1"/>
  <c r="M8" i="5"/>
  <c r="AC18" i="1"/>
  <c r="Y28" i="1"/>
  <c r="K10" i="5"/>
  <c r="L10" i="5" s="1"/>
  <c r="Y18" i="1"/>
  <c r="M29" i="1"/>
  <c r="I9" i="5"/>
  <c r="J9" i="5"/>
  <c r="K9" i="5" s="1"/>
  <c r="AG16" i="1"/>
  <c r="Y44" i="1"/>
  <c r="Y43" i="1"/>
  <c r="Y17" i="1"/>
  <c r="Y29" i="1"/>
  <c r="AG42" i="1"/>
  <c r="AF42" i="1"/>
  <c r="AC45" i="1"/>
  <c r="AD45" i="1"/>
  <c r="AG43" i="1"/>
  <c r="AF43" i="1"/>
  <c r="AD44" i="1"/>
  <c r="AC44" i="1"/>
  <c r="X17" i="1"/>
  <c r="N29" i="1"/>
  <c r="AF19" i="1"/>
  <c r="AG19" i="1"/>
  <c r="X29" i="1"/>
  <c r="AF32" i="1"/>
  <c r="AG32" i="1"/>
  <c r="V30" i="1"/>
  <c r="U30" i="1"/>
  <c r="Q31" i="1"/>
  <c r="P31" i="1"/>
  <c r="K31" i="1"/>
  <c r="J31" i="1"/>
  <c r="O31" i="1"/>
  <c r="V45" i="1"/>
  <c r="U45" i="1"/>
  <c r="X44" i="1"/>
  <c r="Q32" i="1"/>
  <c r="P32" i="1"/>
  <c r="J32" i="1"/>
  <c r="O32" i="1"/>
  <c r="K32" i="1"/>
  <c r="AF18" i="1"/>
  <c r="AG18" i="1"/>
  <c r="N17" i="1"/>
  <c r="M17" i="1"/>
  <c r="O18" i="1"/>
  <c r="J18" i="1"/>
  <c r="K18" i="1"/>
  <c r="Q18" i="1"/>
  <c r="P18" i="1"/>
  <c r="V19" i="1"/>
  <c r="U19" i="1"/>
  <c r="N30" i="1"/>
  <c r="M30" i="1"/>
  <c r="T32" i="1"/>
  <c r="V31" i="1"/>
  <c r="U31" i="1"/>
  <c r="Q19" i="1"/>
  <c r="P19" i="1"/>
  <c r="O19" i="1"/>
  <c r="K19" i="1"/>
  <c r="J19" i="1"/>
  <c r="AG31" i="1"/>
  <c r="AF31" i="1"/>
  <c r="X18" i="1"/>
  <c r="N16" i="1"/>
  <c r="M16" i="1"/>
  <c r="X28" i="1"/>
  <c r="X43" i="1"/>
  <c r="M10" i="5" l="1"/>
  <c r="M9" i="5"/>
  <c r="L9" i="5"/>
  <c r="Y19" i="1"/>
  <c r="Y30" i="1"/>
  <c r="Y45" i="1"/>
  <c r="Y31" i="1"/>
  <c r="AF44" i="1"/>
  <c r="AG44" i="1"/>
  <c r="AG45" i="1"/>
  <c r="AF45" i="1"/>
  <c r="X31" i="1"/>
  <c r="N18" i="1"/>
  <c r="M18" i="1"/>
  <c r="X30" i="1"/>
  <c r="X45" i="1"/>
  <c r="X19" i="1"/>
  <c r="U32" i="1"/>
  <c r="V32" i="1"/>
  <c r="N32" i="1"/>
  <c r="M32" i="1"/>
  <c r="N19" i="1"/>
  <c r="M19" i="1"/>
  <c r="M31" i="1"/>
  <c r="N31" i="1"/>
  <c r="Y32" i="1" l="1"/>
  <c r="X32" i="1"/>
  <c r="F33" i="4" l="1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B91" i="2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33" i="4"/>
  <c r="C91" i="2"/>
  <c r="D91" i="2" l="1"/>
</calcChain>
</file>

<file path=xl/sharedStrings.xml><?xml version="1.0" encoding="utf-8"?>
<sst xmlns="http://schemas.openxmlformats.org/spreadsheetml/2006/main" count="190" uniqueCount="95">
  <si>
    <t>Average</t>
  </si>
  <si>
    <r>
      <t>R</t>
    </r>
    <r>
      <rPr>
        <b/>
        <vertAlign val="superscript"/>
        <sz val="11"/>
        <color theme="1"/>
        <rFont val="Times New Roman"/>
        <family val="1"/>
      </rPr>
      <t>2</t>
    </r>
  </si>
  <si>
    <r>
      <t>Fluid density (kg/m</t>
    </r>
    <r>
      <rPr>
        <b/>
        <vertAlign val="super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)**</t>
    </r>
  </si>
  <si>
    <t>**Density calculated according to Steele-MacInnis, M., Lecumberri-Sanchez, P., and Bodnar, R.J., 2012, HokieFlincs_H2O-NaCl: A Microsoft Excel spreadsheet for interpreting microthermometric data from fluid inclusions based on the PVTX properties of H2O-NaCl: Computers and Geosciences, v. 49, p. 334–337, doi:10.1016/j.cageo.2012.01.022.</t>
  </si>
  <si>
    <t>Homogenization T (°C)*</t>
  </si>
  <si>
    <t>Salinity (wt.% NaCl equiv.)*</t>
  </si>
  <si>
    <t>*Cano, N., González-Jiménez, J.M., Camprubí, A., Domínguez-Carretero, D., González-Partida, E., and Proenza, J.A., 2023, Nanomaterial accumulation in boiling brines enhances epithermal bonanzas: Scientific Reports, v. 13, p. 1–7, doi:10.1038/s41598-023-41756-4.</t>
  </si>
  <si>
    <t>Temperature (°C)</t>
  </si>
  <si>
    <r>
      <t>Viscosity (</t>
    </r>
    <r>
      <rPr>
        <b/>
        <sz val="11"/>
        <color theme="1"/>
        <rFont val="Calibri"/>
        <family val="2"/>
      </rPr>
      <t>µ</t>
    </r>
    <r>
      <rPr>
        <b/>
        <sz val="9.35"/>
        <color theme="1"/>
        <rFont val="Times New Roman"/>
        <family val="1"/>
      </rPr>
      <t>Pa s</t>
    </r>
    <r>
      <rPr>
        <b/>
        <sz val="11"/>
        <color theme="1"/>
        <rFont val="Times New Roman"/>
        <family val="1"/>
      </rPr>
      <t>)</t>
    </r>
  </si>
  <si>
    <t>Salinity (wt% NaCl)</t>
  </si>
  <si>
    <t>Salinity (mol/kg)</t>
  </si>
  <si>
    <r>
      <rPr>
        <sz val="11"/>
        <color theme="1"/>
        <rFont val="Times New Roman"/>
        <family val="1"/>
      </rPr>
      <t>η</t>
    </r>
    <r>
      <rPr>
        <i/>
        <sz val="11"/>
        <color theme="1"/>
        <rFont val="Times New Roman"/>
        <family val="1"/>
      </rPr>
      <t xml:space="preserve"> = 15,363 T</t>
    </r>
    <r>
      <rPr>
        <i/>
        <vertAlign val="superscript"/>
        <sz val="11"/>
        <color theme="1"/>
        <rFont val="Times New Roman"/>
        <family val="1"/>
      </rPr>
      <t>-0.865</t>
    </r>
  </si>
  <si>
    <r>
      <t>η = 15,850 T</t>
    </r>
    <r>
      <rPr>
        <i/>
        <vertAlign val="superscript"/>
        <sz val="11"/>
        <color theme="1"/>
        <rFont val="Times New Roman"/>
        <family val="1"/>
      </rPr>
      <t>-0.845</t>
    </r>
  </si>
  <si>
    <r>
      <t>η = 17,848 T</t>
    </r>
    <r>
      <rPr>
        <i/>
        <vertAlign val="superscript"/>
        <sz val="11"/>
        <color theme="1"/>
        <rFont val="Times New Roman"/>
        <family val="1"/>
      </rPr>
      <t>-0.838</t>
    </r>
  </si>
  <si>
    <r>
      <t xml:space="preserve">η = 19,429 T </t>
    </r>
    <r>
      <rPr>
        <i/>
        <vertAlign val="superscript"/>
        <sz val="11"/>
        <color theme="1"/>
        <rFont val="Times New Roman"/>
        <family val="1"/>
      </rPr>
      <t>-0.84</t>
    </r>
  </si>
  <si>
    <r>
      <t>η = 22,488 T</t>
    </r>
    <r>
      <rPr>
        <i/>
        <vertAlign val="superscript"/>
        <sz val="11"/>
        <color theme="1"/>
        <rFont val="Times New Roman"/>
        <family val="1"/>
      </rPr>
      <t>-0.847</t>
    </r>
  </si>
  <si>
    <r>
      <t>η = 26,327 T</t>
    </r>
    <r>
      <rPr>
        <i/>
        <vertAlign val="superscript"/>
        <sz val="11"/>
        <color theme="1"/>
        <rFont val="Times New Roman"/>
        <family val="1"/>
      </rPr>
      <t>-0.857</t>
    </r>
  </si>
  <si>
    <r>
      <t>Viscosity (</t>
    </r>
    <r>
      <rPr>
        <b/>
        <sz val="11"/>
        <color theme="1"/>
        <rFont val="Calibri"/>
        <family val="2"/>
      </rPr>
      <t>η</t>
    </r>
    <r>
      <rPr>
        <b/>
        <sz val="11"/>
        <color theme="1"/>
        <rFont val="Times New Roman"/>
        <family val="1"/>
      </rPr>
      <t>) equation based on data from Kestin et al. (1981)</t>
    </r>
  </si>
  <si>
    <t>Data from 20° to 150 °C was taken from Kestin, J., Khalifa, H.E., and Correia, R.J., 1981, Tables of the dynamic and kinematic viscosity of aqueous NaCl solutions in the temperature range 20-150 °C and the pressure range 0.1-35 MPa: Journal of Physical and Chemical Reference Data, v. 10, p. 71–88, doi:10.1063/1.555641.</t>
  </si>
  <si>
    <t>Rhos</t>
  </si>
  <si>
    <t>kg/m3</t>
  </si>
  <si>
    <t>rho0, Mu0, Poro0.3</t>
  </si>
  <si>
    <t>rho0, Mu0, Poro0.5</t>
  </si>
  <si>
    <t>rho0, Mu0, Poro0.7</t>
  </si>
  <si>
    <t>Fluid density</t>
  </si>
  <si>
    <t>micro m</t>
  </si>
  <si>
    <t>Dp (m)</t>
  </si>
  <si>
    <t>a</t>
  </si>
  <si>
    <t>b</t>
  </si>
  <si>
    <t>c</t>
  </si>
  <si>
    <t>v_f</t>
  </si>
  <si>
    <t>v_t</t>
  </si>
  <si>
    <t>Gravitational constant</t>
  </si>
  <si>
    <t>g</t>
  </si>
  <si>
    <t>m/s2</t>
  </si>
  <si>
    <t>Porosity</t>
  </si>
  <si>
    <t>Particle diameter</t>
  </si>
  <si>
    <t>Dp</t>
  </si>
  <si>
    <t>Fluid viscosity</t>
  </si>
  <si>
    <t>Mu0</t>
  </si>
  <si>
    <t>Mu1</t>
  </si>
  <si>
    <t>Mu2</t>
  </si>
  <si>
    <t>Fluid velocity</t>
  </si>
  <si>
    <t>Vf</t>
  </si>
  <si>
    <t>Temperature</t>
  </si>
  <si>
    <t>Temp</t>
  </si>
  <si>
    <t>C</t>
  </si>
  <si>
    <t>rho1, Mu1, Poro0.3</t>
  </si>
  <si>
    <t>rho1, Mu1, Poro0.5</t>
  </si>
  <si>
    <t>rho1, Mu1, Poro0.7</t>
  </si>
  <si>
    <t>Pressure</t>
  </si>
  <si>
    <t>Pre</t>
  </si>
  <si>
    <t>MPa</t>
  </si>
  <si>
    <t>rho2, Mu2, Poro0.3</t>
  </si>
  <si>
    <t>rho2, Mu2, Poro0.5</t>
  </si>
  <si>
    <t>rho2, Mu2, Poro0.7</t>
  </si>
  <si>
    <t>PARAMETERS</t>
  </si>
  <si>
    <t>DATA</t>
  </si>
  <si>
    <t>UNITS</t>
  </si>
  <si>
    <t>mol/kg NaCl</t>
  </si>
  <si>
    <t>NaCl concentration</t>
  </si>
  <si>
    <t>Pa s = kg / s m</t>
  </si>
  <si>
    <t>SYMBOLS</t>
  </si>
  <si>
    <t>C_D =</t>
  </si>
  <si>
    <t>Re =</t>
  </si>
  <si>
    <t>References for equations</t>
  </si>
  <si>
    <t xml:space="preserve">Sissom, L. E. &amp; Pitts, D. R. Elements of Transport Phenomena. (McGraw-Hill, 1972).
</t>
  </si>
  <si>
    <t>Oliver, N. H. S., Rubenach, M. J., Fu, B., Baker, T. &amp; Blenkinsop, T. G. Granite-related overpressure and volatile release in the mid crust: fluidized breccias from the Cloncurry District, Australia. Geofluids 6, 346–358 (2006).</t>
  </si>
  <si>
    <r>
      <t>Equation 1: fluidization velocity (v_</t>
    </r>
    <r>
      <rPr>
        <b/>
        <i/>
        <sz val="11"/>
        <color theme="1"/>
        <rFont val="Times New Roman"/>
        <family val="1"/>
      </rPr>
      <t>f)</t>
    </r>
    <r>
      <rPr>
        <b/>
        <vertAlign val="superscript"/>
        <sz val="11"/>
        <color theme="1"/>
        <rFont val="Times New Roman"/>
        <family val="1"/>
      </rPr>
      <t>1,2</t>
    </r>
  </si>
  <si>
    <r>
      <t>Equation 2: settling velocity (</t>
    </r>
    <r>
      <rPr>
        <b/>
        <i/>
        <sz val="11"/>
        <color theme="1"/>
        <rFont val="Times New Roman"/>
        <family val="1"/>
      </rPr>
      <t>v_t</t>
    </r>
    <r>
      <rPr>
        <b/>
        <sz val="11"/>
        <color theme="1"/>
        <rFont val="Times New Roman"/>
        <family val="1"/>
      </rPr>
      <t>)</t>
    </r>
    <r>
      <rPr>
        <b/>
        <vertAlign val="superscript"/>
        <sz val="11"/>
        <color theme="1"/>
        <rFont val="Times New Roman"/>
        <family val="1"/>
      </rPr>
      <t>1</t>
    </r>
  </si>
  <si>
    <t>Dp (micro m)</t>
  </si>
  <si>
    <t>Poro</t>
  </si>
  <si>
    <t>v_f (m/s)</t>
  </si>
  <si>
    <t>A</t>
  </si>
  <si>
    <t>B</t>
  </si>
  <si>
    <t>dp/L</t>
  </si>
  <si>
    <t>Mu2 (kg / s m)</t>
  </si>
  <si>
    <t>Rhof2 (kg/m3)</t>
  </si>
  <si>
    <t>Distance (m)</t>
  </si>
  <si>
    <t>19 wt% NaCl equiv. (4 mol/Kg NaCl)</t>
  </si>
  <si>
    <t>Rhof0 (0 wt% NaCleq)</t>
  </si>
  <si>
    <t>Rhof1 (10 wt% NaCleq)</t>
  </si>
  <si>
    <t>Rhof2 (19 wt% NaCleq)</t>
  </si>
  <si>
    <t>Re / (1-Poro)</t>
  </si>
  <si>
    <r>
      <t>Equation 4 (Ergun equation): pressure gradient to sustain fluidization (</t>
    </r>
    <r>
      <rPr>
        <b/>
        <sz val="11"/>
        <color theme="1"/>
        <rFont val="Calibri"/>
        <family val="2"/>
      </rPr>
      <t>Δ</t>
    </r>
    <r>
      <rPr>
        <b/>
        <sz val="7.25"/>
        <color theme="1"/>
        <rFont val="Times New Roman"/>
        <family val="1"/>
      </rPr>
      <t>Pre</t>
    </r>
    <r>
      <rPr>
        <b/>
        <i/>
        <sz val="11"/>
        <color theme="1"/>
        <rFont val="Times New Roman"/>
        <family val="1"/>
      </rPr>
      <t>)</t>
    </r>
    <r>
      <rPr>
        <b/>
        <vertAlign val="superscript"/>
        <sz val="11"/>
        <color theme="1"/>
        <rFont val="Times New Roman"/>
        <family val="1"/>
      </rPr>
      <t>1</t>
    </r>
  </si>
  <si>
    <r>
      <t>Equation 3: Reynolds number (Re</t>
    </r>
    <r>
      <rPr>
        <b/>
        <i/>
        <sz val="11"/>
        <color theme="1"/>
        <rFont val="Times New Roman"/>
        <family val="1"/>
      </rPr>
      <t>)</t>
    </r>
    <r>
      <rPr>
        <b/>
        <vertAlign val="superscript"/>
        <sz val="11"/>
        <color theme="1"/>
        <rFont val="Times New Roman"/>
        <family val="1"/>
      </rPr>
      <t>1</t>
    </r>
  </si>
  <si>
    <t>Reference for equations</t>
  </si>
  <si>
    <t>rho0, Mu0, Poro0.9</t>
  </si>
  <si>
    <t>rho1, Mu1, Poro0.9</t>
  </si>
  <si>
    <t>rho2, Mu2, Poro0.9</t>
  </si>
  <si>
    <t>Poro0.3</t>
  </si>
  <si>
    <t>Poro0.5</t>
  </si>
  <si>
    <t>Poro0.7</t>
  </si>
  <si>
    <t>Poro0.9</t>
  </si>
  <si>
    <t>Melt droplet 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</si>
</sst>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"/>
    <numFmt numFmtId="166" formatCode="0.000E+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8"/>
      <name val="Calibri"/>
      <family val="2"/>
      <scheme val="minor"/>
    </font>
    <font>
      <i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  <font>
      <b/>
      <sz val="11"/>
      <color theme="1"/>
      <name val="Calibri"/>
      <family val="2"/>
    </font>
    <font>
      <b/>
      <sz val="9.35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7.25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6" xfId="0" applyFont="1" applyBorder="1"/>
    <xf numFmtId="0" fontId="2" fillId="0" borderId="4" xfId="0" applyFont="1" applyBorder="1"/>
    <xf numFmtId="0" fontId="2" fillId="0" borderId="7" xfId="0" applyFont="1" applyBorder="1"/>
    <xf numFmtId="164" fontId="2" fillId="0" borderId="0" xfId="0" applyNumberFormat="1" applyFont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4" xfId="0" applyFont="1" applyBorder="1"/>
    <xf numFmtId="0" fontId="2" fillId="0" borderId="5" xfId="0" applyFont="1" applyBorder="1"/>
    <xf numFmtId="1" fontId="2" fillId="0" borderId="0" xfId="0" applyNumberFormat="1" applyFont="1" applyAlignment="1">
      <alignment horizontal="center"/>
    </xf>
    <xf numFmtId="0" fontId="1" fillId="2" borderId="10" xfId="0" applyFont="1" applyFill="1" applyBorder="1" applyAlignment="1">
      <alignment vertical="center"/>
    </xf>
    <xf numFmtId="164" fontId="1" fillId="2" borderId="11" xfId="0" applyNumberFormat="1" applyFont="1" applyFill="1" applyBorder="1" applyAlignment="1">
      <alignment horizontal="center" vertical="center"/>
    </xf>
    <xf numFmtId="1" fontId="1" fillId="2" borderId="11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/>
    <xf numFmtId="0" fontId="1" fillId="3" borderId="2" xfId="0" applyFont="1" applyFill="1" applyBorder="1"/>
    <xf numFmtId="0" fontId="2" fillId="3" borderId="2" xfId="0" applyFont="1" applyFill="1" applyBorder="1"/>
    <xf numFmtId="0" fontId="2" fillId="3" borderId="18" xfId="0" applyFont="1" applyFill="1" applyBorder="1"/>
    <xf numFmtId="0" fontId="2" fillId="3" borderId="3" xfId="0" applyFont="1" applyFill="1" applyBorder="1"/>
    <xf numFmtId="0" fontId="1" fillId="7" borderId="0" xfId="0" applyFont="1" applyFill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2" fillId="3" borderId="5" xfId="0" applyFont="1" applyFill="1" applyBorder="1"/>
    <xf numFmtId="11" fontId="2" fillId="0" borderId="0" xfId="0" applyNumberFormat="1" applyFont="1"/>
    <xf numFmtId="11" fontId="2" fillId="7" borderId="0" xfId="0" applyNumberFormat="1" applyFont="1" applyFill="1"/>
    <xf numFmtId="11" fontId="2" fillId="7" borderId="19" xfId="0" applyNumberFormat="1" applyFont="1" applyFill="1" applyBorder="1"/>
    <xf numFmtId="11" fontId="2" fillId="7" borderId="5" xfId="0" applyNumberFormat="1" applyFont="1" applyFill="1" applyBorder="1"/>
    <xf numFmtId="11" fontId="2" fillId="0" borderId="5" xfId="0" applyNumberFormat="1" applyFont="1" applyBorder="1"/>
    <xf numFmtId="0" fontId="2" fillId="5" borderId="5" xfId="0" applyFont="1" applyFill="1" applyBorder="1"/>
    <xf numFmtId="0" fontId="2" fillId="6" borderId="5" xfId="0" applyFont="1" applyFill="1" applyBorder="1"/>
    <xf numFmtId="0" fontId="2" fillId="0" borderId="6" xfId="0" applyFont="1" applyBorder="1"/>
    <xf numFmtId="11" fontId="2" fillId="0" borderId="7" xfId="0" applyNumberFormat="1" applyFont="1" applyBorder="1"/>
    <xf numFmtId="11" fontId="2" fillId="7" borderId="7" xfId="0" applyNumberFormat="1" applyFont="1" applyFill="1" applyBorder="1"/>
    <xf numFmtId="11" fontId="2" fillId="7" borderId="20" xfId="0" applyNumberFormat="1" applyFont="1" applyFill="1" applyBorder="1"/>
    <xf numFmtId="11" fontId="2" fillId="7" borderId="8" xfId="0" applyNumberFormat="1" applyFont="1" applyFill="1" applyBorder="1"/>
    <xf numFmtId="11" fontId="2" fillId="0" borderId="8" xfId="0" applyNumberFormat="1" applyFont="1" applyBorder="1"/>
    <xf numFmtId="0" fontId="1" fillId="5" borderId="1" xfId="0" applyFont="1" applyFill="1" applyBorder="1"/>
    <xf numFmtId="0" fontId="2" fillId="5" borderId="2" xfId="0" applyFont="1" applyFill="1" applyBorder="1"/>
    <xf numFmtId="11" fontId="2" fillId="5" borderId="2" xfId="0" applyNumberFormat="1" applyFont="1" applyFill="1" applyBorder="1"/>
    <xf numFmtId="11" fontId="2" fillId="5" borderId="3" xfId="0" applyNumberFormat="1" applyFont="1" applyFill="1" applyBorder="1"/>
    <xf numFmtId="0" fontId="2" fillId="0" borderId="8" xfId="0" applyFont="1" applyBorder="1"/>
    <xf numFmtId="0" fontId="1" fillId="6" borderId="1" xfId="0" applyFont="1" applyFill="1" applyBorder="1"/>
    <xf numFmtId="0" fontId="2" fillId="6" borderId="2" xfId="0" applyFont="1" applyFill="1" applyBorder="1"/>
    <xf numFmtId="11" fontId="2" fillId="6" borderId="2" xfId="0" applyNumberFormat="1" applyFont="1" applyFill="1" applyBorder="1"/>
    <xf numFmtId="11" fontId="2" fillId="6" borderId="3" xfId="0" applyNumberFormat="1" applyFont="1" applyFill="1" applyBorder="1"/>
    <xf numFmtId="0" fontId="1" fillId="6" borderId="2" xfId="0" applyFont="1" applyFill="1" applyBorder="1"/>
    <xf numFmtId="11" fontId="1" fillId="6" borderId="2" xfId="0" applyNumberFormat="1" applyFont="1" applyFill="1" applyBorder="1"/>
    <xf numFmtId="11" fontId="1" fillId="6" borderId="3" xfId="0" applyNumberFormat="1" applyFont="1" applyFill="1" applyBorder="1"/>
    <xf numFmtId="11" fontId="1" fillId="0" borderId="0" xfId="0" applyNumberFormat="1" applyFont="1"/>
    <xf numFmtId="0" fontId="2" fillId="7" borderId="0" xfId="0" applyFont="1" applyFill="1" applyAlignment="1">
      <alignment horizontal="center"/>
    </xf>
    <xf numFmtId="0" fontId="2" fillId="7" borderId="19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0" fillId="0" borderId="1" xfId="0" applyBorder="1"/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/>
    <xf numFmtId="164" fontId="0" fillId="7" borderId="5" xfId="0" applyNumberFormat="1" applyFill="1" applyBorder="1"/>
    <xf numFmtId="0" fontId="0" fillId="0" borderId="7" xfId="0" applyBorder="1"/>
    <xf numFmtId="11" fontId="0" fillId="0" borderId="7" xfId="0" applyNumberFormat="1" applyBorder="1"/>
    <xf numFmtId="164" fontId="0" fillId="0" borderId="7" xfId="0" applyNumberFormat="1" applyBorder="1"/>
    <xf numFmtId="2" fontId="0" fillId="0" borderId="7" xfId="0" applyNumberFormat="1" applyBorder="1"/>
    <xf numFmtId="164" fontId="0" fillId="7" borderId="8" xfId="0" applyNumberFormat="1" applyFill="1" applyBorder="1"/>
    <xf numFmtId="0" fontId="10" fillId="0" borderId="21" xfId="0" applyFont="1" applyBorder="1" applyAlignment="1">
      <alignment horizontal="center"/>
    </xf>
    <xf numFmtId="166" fontId="0" fillId="0" borderId="13" xfId="0" applyNumberFormat="1" applyBorder="1"/>
    <xf numFmtId="0" fontId="2" fillId="0" borderId="0" xfId="0" applyFont="1" applyAlignment="1">
      <alignment wrapText="1"/>
    </xf>
    <xf numFmtId="0" fontId="5" fillId="0" borderId="0" xfId="0" applyFont="1"/>
    <xf numFmtId="0" fontId="5" fillId="3" borderId="0" xfId="0" applyFont="1" applyFill="1"/>
    <xf numFmtId="0" fontId="2" fillId="3" borderId="0" xfId="0" applyFont="1" applyFill="1"/>
    <xf numFmtId="0" fontId="5" fillId="5" borderId="0" xfId="0" applyFont="1" applyFill="1"/>
    <xf numFmtId="0" fontId="2" fillId="5" borderId="0" xfId="0" applyFont="1" applyFill="1"/>
    <xf numFmtId="0" fontId="5" fillId="6" borderId="0" xfId="0" applyFont="1" applyFill="1"/>
    <xf numFmtId="0" fontId="2" fillId="6" borderId="0" xfId="0" applyFont="1" applyFill="1"/>
    <xf numFmtId="165" fontId="2" fillId="5" borderId="0" xfId="0" applyNumberFormat="1" applyFont="1" applyFill="1"/>
    <xf numFmtId="11" fontId="0" fillId="0" borderId="0" xfId="0" applyNumberFormat="1"/>
    <xf numFmtId="164" fontId="0" fillId="0" borderId="0" xfId="0" applyNumberFormat="1"/>
    <xf numFmtId="2" fontId="0" fillId="0" borderId="0" xfId="0" applyNumberFormat="1"/>
    <xf numFmtId="164" fontId="0" fillId="7" borderId="0" xfId="0" applyNumberFormat="1" applyFill="1"/>
    <xf numFmtId="164" fontId="0" fillId="7" borderId="7" xfId="0" applyNumberFormat="1" applyFill="1" applyBorder="1"/>
    <xf numFmtId="166" fontId="0" fillId="0" borderId="14" xfId="0" applyNumberFormat="1" applyBorder="1"/>
    <xf numFmtId="0" fontId="2" fillId="0" borderId="0" xfId="0" applyFont="1" applyAlignment="1">
      <alignment horizontal="left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400" b="1"/>
              <a:t>Fluidization</a:t>
            </a:r>
            <a:r>
              <a:rPr lang="es-CO" sz="1400" b="1" baseline="0"/>
              <a:t> and settling velocities of melt droplets within hydrothermal fluid</a:t>
            </a:r>
            <a:endParaRPr lang="es-CO" sz="1400" b="1"/>
          </a:p>
        </c:rich>
      </c:tx>
      <c:layout>
        <c:manualLayout>
          <c:xMode val="edge"/>
          <c:yMode val="edge"/>
          <c:x val="0.23220070926680619"/>
          <c:y val="3.22324579094078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2.3687042681833012E-2"/>
          <c:y val="0.18745778899812637"/>
          <c:w val="0.687321700216172"/>
          <c:h val="0.7823558641280477"/>
        </c:manualLayout>
      </c:layout>
      <c:scatterChart>
        <c:scatterStyle val="lineMarker"/>
        <c:varyColors val="0"/>
        <c:ser>
          <c:idx val="0"/>
          <c:order val="0"/>
          <c:tx>
            <c:v>rho0, Mu0, Poro0.3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'Fluidization &amp; settling veloc.'!$H$10:$H$19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veloc.'!$M$10:$M$19</c:f>
              <c:numCache>
                <c:formatCode>0.00E+00</c:formatCode>
                <c:ptCount val="10"/>
                <c:pt idx="0">
                  <c:v>1.4072494669509596E-11</c:v>
                </c:pt>
                <c:pt idx="1">
                  <c:v>3.5720948827292118E-10</c:v>
                </c:pt>
                <c:pt idx="2">
                  <c:v>1.4287380063965887E-9</c:v>
                </c:pt>
                <c:pt idx="3">
                  <c:v>3.5719027976745736E-8</c:v>
                </c:pt>
                <c:pt idx="4">
                  <c:v>1.4287613533198959E-7</c:v>
                </c:pt>
                <c:pt idx="5">
                  <c:v>3.5719026781094356E-6</c:v>
                </c:pt>
                <c:pt idx="6">
                  <c:v>1.4287592633090802E-5</c:v>
                </c:pt>
                <c:pt idx="7">
                  <c:v>3.5712579228311202E-4</c:v>
                </c:pt>
                <c:pt idx="8">
                  <c:v>1.42670125493134E-3</c:v>
                </c:pt>
                <c:pt idx="9">
                  <c:v>3.0890318154698091E-2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63-4EC1-A17B-ED98860C0A16}"/>
            </c:ext>
          </c:extLst>
        </c:ser>
        <c:ser>
          <c:idx val="1"/>
          <c:order val="1"/>
          <c:tx>
            <c:v>rho1, Mu1, Poro0.3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'Fluidization &amp; settling veloc.'!$H$23:$H$32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veloc.'!$M$23:$M$32</c:f>
              <c:numCache>
                <c:formatCode>0.00E+00</c:formatCode>
                <c:ptCount val="10"/>
                <c:pt idx="0">
                  <c:v>9.7157250809643759E-12</c:v>
                </c:pt>
                <c:pt idx="1">
                  <c:v>2.5689321698452683E-10</c:v>
                </c:pt>
                <c:pt idx="2">
                  <c:v>1.0277415437207629E-9</c:v>
                </c:pt>
                <c:pt idx="3">
                  <c:v>2.5694658705638266E-8</c:v>
                </c:pt>
                <c:pt idx="4">
                  <c:v>1.0277866117814412E-7</c:v>
                </c:pt>
                <c:pt idx="5">
                  <c:v>2.569466375026312E-6</c:v>
                </c:pt>
                <c:pt idx="6">
                  <c:v>1.0277857347373784E-5</c:v>
                </c:pt>
                <c:pt idx="7">
                  <c:v>2.569175504097067E-4</c:v>
                </c:pt>
                <c:pt idx="8">
                  <c:v>1.0268564214627116E-3</c:v>
                </c:pt>
                <c:pt idx="9">
                  <c:v>2.3299932442504143E-2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63-4EC1-A17B-ED98860C0A16}"/>
            </c:ext>
          </c:extLst>
        </c:ser>
        <c:ser>
          <c:idx val="2"/>
          <c:order val="2"/>
          <c:tx>
            <c:v>rho2, Mu2, Poro0.3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'Fluidization &amp; settling veloc.'!$H$36:$H$45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veloc.'!$M$36:$M$45</c:f>
              <c:numCache>
                <c:formatCode>0.00E+00</c:formatCode>
                <c:ptCount val="10"/>
                <c:pt idx="0">
                  <c:v>8.19252432155658E-12</c:v>
                </c:pt>
                <c:pt idx="1">
                  <c:v>2.1313364055299542E-10</c:v>
                </c:pt>
                <c:pt idx="2">
                  <c:v>8.5293458781362024E-10</c:v>
                </c:pt>
                <c:pt idx="3">
                  <c:v>2.1323989735343063E-8</c:v>
                </c:pt>
                <c:pt idx="4">
                  <c:v>8.5295908938172047E-8</c:v>
                </c:pt>
                <c:pt idx="5">
                  <c:v>2.1323975925865507E-6</c:v>
                </c:pt>
                <c:pt idx="6">
                  <c:v>8.5295854188574327E-6</c:v>
                </c:pt>
                <c:pt idx="7">
                  <c:v>2.1322209429142723E-4</c:v>
                </c:pt>
                <c:pt idx="8">
                  <c:v>8.5239391858409562E-4</c:v>
                </c:pt>
                <c:pt idx="9">
                  <c:v>1.9799285347864657E-2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63-4EC1-A17B-ED98860C0A16}"/>
            </c:ext>
          </c:extLst>
        </c:ser>
        <c:ser>
          <c:idx val="3"/>
          <c:order val="3"/>
          <c:tx>
            <c:v>rho0, Mu0, Poro0.5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'Fluidization &amp; settling veloc.'!$S$10:$S$19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veloc.'!$X$10:$X$19</c:f>
              <c:numCache>
                <c:formatCode>0.00E+00</c:formatCode>
                <c:ptCount val="10"/>
                <c:pt idx="0">
                  <c:v>9.2484008528784642E-11</c:v>
                </c:pt>
                <c:pt idx="1">
                  <c:v>2.3151402585287847E-9</c:v>
                </c:pt>
                <c:pt idx="2">
                  <c:v>9.260498567430703E-9</c:v>
                </c:pt>
                <c:pt idx="3">
                  <c:v>2.3151225271001298E-7</c:v>
                </c:pt>
                <c:pt idx="4">
                  <c:v>9.2604897667858393E-7</c:v>
                </c:pt>
                <c:pt idx="5">
                  <c:v>2.3151119766967379E-5</c:v>
                </c:pt>
                <c:pt idx="6">
                  <c:v>9.2601525935791178E-5</c:v>
                </c:pt>
                <c:pt idx="7">
                  <c:v>2.304669793388212E-3</c:v>
                </c:pt>
                <c:pt idx="8">
                  <c:v>8.945530701100126E-3</c:v>
                </c:pt>
                <c:pt idx="9">
                  <c:v>8.5991616909478083E-2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663-4EC1-A17B-ED98860C0A16}"/>
            </c:ext>
          </c:extLst>
        </c:ser>
        <c:ser>
          <c:idx val="4"/>
          <c:order val="4"/>
          <c:tx>
            <c:v>rho1, Mu1, Poro0.5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'Fluidization &amp; settling veloc.'!$S$23:$S$32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veloc.'!$X$23:$X$32</c:f>
              <c:numCache>
                <c:formatCode>0.00E+00</c:formatCode>
                <c:ptCount val="10"/>
                <c:pt idx="0">
                  <c:v>6.6570708888089247E-11</c:v>
                </c:pt>
                <c:pt idx="1">
                  <c:v>1.6653922274199351E-9</c:v>
                </c:pt>
                <c:pt idx="2">
                  <c:v>6.6615864800737675E-9</c:v>
                </c:pt>
                <c:pt idx="3">
                  <c:v>1.6653950826089647E-7</c:v>
                </c:pt>
                <c:pt idx="4">
                  <c:v>6.6615800833521922E-7</c:v>
                </c:pt>
                <c:pt idx="5">
                  <c:v>1.6653903039422297E-5</c:v>
                </c:pt>
                <c:pt idx="6">
                  <c:v>6.6614280036131487E-5</c:v>
                </c:pt>
                <c:pt idx="7">
                  <c:v>1.660664233315626E-3</c:v>
                </c:pt>
                <c:pt idx="8">
                  <c:v>6.5159155139469004E-3</c:v>
                </c:pt>
                <c:pt idx="9">
                  <c:v>7.3604321910234485E-2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663-4EC1-A17B-ED98860C0A16}"/>
            </c:ext>
          </c:extLst>
        </c:ser>
        <c:ser>
          <c:idx val="5"/>
          <c:order val="5"/>
          <c:tx>
            <c:v>rho2, Mu2, Poro0.5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'Fluidization &amp; settling veloc.'!$S$36:$S$45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veloc.'!$X$36:$X$45</c:f>
              <c:numCache>
                <c:formatCode>0.00E+00</c:formatCode>
                <c:ptCount val="10"/>
                <c:pt idx="0">
                  <c:v>5.5256869772998803E-11</c:v>
                </c:pt>
                <c:pt idx="1">
                  <c:v>1.3820884536610342E-9</c:v>
                </c:pt>
                <c:pt idx="2">
                  <c:v>5.5284204855777437E-9</c:v>
                </c:pt>
                <c:pt idx="3">
                  <c:v>1.3821096529344546E-7</c:v>
                </c:pt>
                <c:pt idx="4">
                  <c:v>5.5284385596511514E-7</c:v>
                </c:pt>
                <c:pt idx="5">
                  <c:v>1.3821067761227343E-5</c:v>
                </c:pt>
                <c:pt idx="6">
                  <c:v>5.5283462069591661E-5</c:v>
                </c:pt>
                <c:pt idx="7">
                  <c:v>1.3792323755883384E-3</c:v>
                </c:pt>
                <c:pt idx="8">
                  <c:v>5.4389498322229956E-3</c:v>
                </c:pt>
                <c:pt idx="9">
                  <c:v>6.8088548789914466E-2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63-4EC1-A17B-ED98860C0A16}"/>
            </c:ext>
          </c:extLst>
        </c:ser>
        <c:ser>
          <c:idx val="6"/>
          <c:order val="6"/>
          <c:tx>
            <c:v>rho0, Mu0, Poro0.7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'Fluidization &amp; settling veloc.'!$AA$10:$AA$19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veloc.'!$AF$10:$AF$19</c:f>
              <c:numCache>
                <c:formatCode>0.00E+00</c:formatCode>
                <c:ptCount val="10"/>
                <c:pt idx="0">
                  <c:v>4.2350746268656716E-10</c:v>
                </c:pt>
                <c:pt idx="1">
                  <c:v>1.0587832322761194E-8</c:v>
                </c:pt>
                <c:pt idx="2">
                  <c:v>4.2351307427705232E-8</c:v>
                </c:pt>
                <c:pt idx="3">
                  <c:v>1.0587826287568504E-6</c:v>
                </c:pt>
                <c:pt idx="4">
                  <c:v>4.2351284983620712E-6</c:v>
                </c:pt>
                <c:pt idx="5">
                  <c:v>1.0587106448669932E-4</c:v>
                </c:pt>
                <c:pt idx="6">
                  <c:v>4.2328271982745446E-4</c:v>
                </c:pt>
                <c:pt idx="7">
                  <c:v>9.9512220645360909E-3</c:v>
                </c:pt>
                <c:pt idx="8">
                  <c:v>3.0438815134575824E-2</c:v>
                </c:pt>
                <c:pt idx="9">
                  <c:v>0.12079265526911741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663-4EC1-A17B-ED98860C0A16}"/>
            </c:ext>
          </c:extLst>
        </c:ser>
        <c:ser>
          <c:idx val="7"/>
          <c:order val="7"/>
          <c:tx>
            <c:v>rho1, Mu1, Poro0.7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'Fluidization &amp; settling veloc.'!$AA$23:$AA$32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veloc.'!$AF$23:$AF$32</c:f>
              <c:numCache>
                <c:formatCode>0.00E+00</c:formatCode>
                <c:ptCount val="10"/>
                <c:pt idx="0">
                  <c:v>3.0462846347607053E-10</c:v>
                </c:pt>
                <c:pt idx="1">
                  <c:v>7.6164126456234256E-9</c:v>
                </c:pt>
                <c:pt idx="2">
                  <c:v>3.0465625983942065E-8</c:v>
                </c:pt>
                <c:pt idx="3">
                  <c:v>7.6164064383326611E-7</c:v>
                </c:pt>
                <c:pt idx="4">
                  <c:v>3.0465616596135446E-6</c:v>
                </c:pt>
                <c:pt idx="5">
                  <c:v>7.6160817054266898E-5</c:v>
                </c:pt>
                <c:pt idx="6">
                  <c:v>3.0455231812198457E-4</c:v>
                </c:pt>
                <c:pt idx="7">
                  <c:v>7.3164368926004744E-3</c:v>
                </c:pt>
                <c:pt idx="8">
                  <c:v>2.4006575229861018E-2</c:v>
                </c:pt>
                <c:pt idx="9">
                  <c:v>0.10800151668447788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663-4EC1-A17B-ED98860C0A16}"/>
            </c:ext>
          </c:extLst>
        </c:ser>
        <c:ser>
          <c:idx val="8"/>
          <c:order val="8"/>
          <c:tx>
            <c:v>rho2, Mu2, Poro0.7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'Fluidization &amp; settling veloc.'!$AA$36:$AA$45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veloc.'!$AF$36:$AF$45</c:f>
              <c:numCache>
                <c:formatCode>0.00E+00</c:formatCode>
                <c:ptCount val="10"/>
                <c:pt idx="0">
                  <c:v>2.528375149342891E-10</c:v>
                </c:pt>
                <c:pt idx="1">
                  <c:v>6.3208445340501794E-9</c:v>
                </c:pt>
                <c:pt idx="2">
                  <c:v>2.5283389803614098E-8</c:v>
                </c:pt>
                <c:pt idx="3">
                  <c:v>6.3208480160438604E-7</c:v>
                </c:pt>
                <c:pt idx="4">
                  <c:v>2.5283386494808584E-6</c:v>
                </c:pt>
                <c:pt idx="5">
                  <c:v>6.3206508077743375E-5</c:v>
                </c:pt>
                <c:pt idx="6">
                  <c:v>2.5277078918530525E-4</c:v>
                </c:pt>
                <c:pt idx="7">
                  <c:v>6.1348852499326289E-3</c:v>
                </c:pt>
                <c:pt idx="8">
                  <c:v>2.0947292387563047E-2</c:v>
                </c:pt>
                <c:pt idx="9">
                  <c:v>0.10343711571279447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663-4EC1-A17B-ED98860C0A16}"/>
            </c:ext>
          </c:extLst>
        </c:ser>
        <c:ser>
          <c:idx val="18"/>
          <c:order val="9"/>
          <c:tx>
            <c:v>rho0, Mu0, Poro0.9</c:v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'Fluidization &amp; settling veloc.'!$AI$10:$AI$19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veloc.'!$AN$10:$AN$19</c:f>
              <c:numCache>
                <c:formatCode>0.00E+00</c:formatCode>
                <c:ptCount val="10"/>
                <c:pt idx="0">
                  <c:v>2.7003598081023457E-9</c:v>
                </c:pt>
                <c:pt idx="1">
                  <c:v>6.7508971777551973E-8</c:v>
                </c:pt>
                <c:pt idx="2">
                  <c:v>2.7003588711020789E-7</c:v>
                </c:pt>
                <c:pt idx="3">
                  <c:v>6.7508827514282419E-6</c:v>
                </c:pt>
                <c:pt idx="4">
                  <c:v>2.700312419624979E-5</c:v>
                </c:pt>
                <c:pt idx="5">
                  <c:v>6.7364299982190453E-4</c:v>
                </c:pt>
                <c:pt idx="6">
                  <c:v>2.6553998530071889E-3</c:v>
                </c:pt>
                <c:pt idx="7">
                  <c:v>3.2932600685668563E-2</c:v>
                </c:pt>
                <c:pt idx="8">
                  <c:v>5.7706692026418135E-2</c:v>
                </c:pt>
                <c:pt idx="9">
                  <c:v>0.14395821965210262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D5-4E46-A1B4-1A4255D2FF79}"/>
            </c:ext>
          </c:extLst>
        </c:ser>
        <c:ser>
          <c:idx val="19"/>
          <c:order val="10"/>
          <c:tx>
            <c:v>rho1, Mu1, Poro0.9</c:v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'Fluidization &amp; settling veloc.'!$AI$23:$AI$32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veloc.'!$AN$23:$AN$32</c:f>
              <c:numCache>
                <c:formatCode>0.00E+00</c:formatCode>
                <c:ptCount val="10"/>
                <c:pt idx="0">
                  <c:v>1.9425124820079169E-9</c:v>
                </c:pt>
                <c:pt idx="1">
                  <c:v>4.8562918790341631E-8</c:v>
                </c:pt>
                <c:pt idx="2">
                  <c:v>1.9425167911470516E-7</c:v>
                </c:pt>
                <c:pt idx="3">
                  <c:v>4.8562854462109175E-6</c:v>
                </c:pt>
                <c:pt idx="4">
                  <c:v>1.9424958280592179E-5</c:v>
                </c:pt>
                <c:pt idx="5">
                  <c:v>4.8497557556257857E-4</c:v>
                </c:pt>
                <c:pt idx="6">
                  <c:v>1.9219853932003858E-3</c:v>
                </c:pt>
                <c:pt idx="7">
                  <c:v>2.7518478914173208E-2</c:v>
                </c:pt>
                <c:pt idx="8">
                  <c:v>5.0802965025553967E-2</c:v>
                </c:pt>
                <c:pt idx="9">
                  <c:v>0.13040593288039165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D5-4E46-A1B4-1A4255D2FF79}"/>
            </c:ext>
          </c:extLst>
        </c:ser>
        <c:ser>
          <c:idx val="20"/>
          <c:order val="11"/>
          <c:tx>
            <c:v>rho2, Mu2, Poro0.9</c:v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'Fluidization &amp; settling veloc.'!$AI$36:$AI$45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veloc.'!$AN$36:$AN$45</c:f>
              <c:numCache>
                <c:formatCode>0.00E+00</c:formatCode>
                <c:ptCount val="10"/>
                <c:pt idx="0">
                  <c:v>1.6120991743471584E-9</c:v>
                </c:pt>
                <c:pt idx="1">
                  <c:v>4.0302318098358301E-8</c:v>
                </c:pt>
                <c:pt idx="2">
                  <c:v>1.612092705183132E-7</c:v>
                </c:pt>
                <c:pt idx="3">
                  <c:v>4.0302278044037006E-6</c:v>
                </c:pt>
                <c:pt idx="4">
                  <c:v>1.612079977937924E-5</c:v>
                </c:pt>
                <c:pt idx="5">
                  <c:v>4.026259619286899E-4</c:v>
                </c:pt>
                <c:pt idx="6">
                  <c:v>1.599554040919274E-3</c:v>
                </c:pt>
                <c:pt idx="7">
                  <c:v>2.4994510114909302E-2</c:v>
                </c:pt>
                <c:pt idx="8">
                  <c:v>4.8052264379813324E-2</c:v>
                </c:pt>
                <c:pt idx="9">
                  <c:v>0.12622443718901091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D5-4E46-A1B4-1A4255D2FF79}"/>
            </c:ext>
          </c:extLst>
        </c:ser>
        <c:ser>
          <c:idx val="9"/>
          <c:order val="12"/>
          <c:tx>
            <c:v>rho0, Mu0, Poro0.3, Re=1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'Fluidization &amp; settling veloc.'!$H$10:$H$19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veloc.'!$O$10:$O$19</c:f>
              <c:numCache>
                <c:formatCode>0.00E+00</c:formatCode>
                <c:ptCount val="10"/>
                <c:pt idx="0">
                  <c:v>1.9131039784873552E-4</c:v>
                </c:pt>
                <c:pt idx="1">
                  <c:v>4.2778305439230213E-4</c:v>
                </c:pt>
                <c:pt idx="2">
                  <c:v>6.0497659727498112E-4</c:v>
                </c:pt>
                <c:pt idx="3">
                  <c:v>1.3527687963033718E-3</c:v>
                </c:pt>
                <c:pt idx="4">
                  <c:v>1.9131039784873551E-3</c:v>
                </c:pt>
                <c:pt idx="5">
                  <c:v>4.277830543923021E-3</c:v>
                </c:pt>
                <c:pt idx="6">
                  <c:v>6.0497659727498107E-3</c:v>
                </c:pt>
                <c:pt idx="7">
                  <c:v>1.3527687963033719E-2</c:v>
                </c:pt>
                <c:pt idx="8">
                  <c:v>1.9131039784873551E-2</c:v>
                </c:pt>
                <c:pt idx="9">
                  <c:v>4.277830543923021E-2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663-4EC1-A17B-ED98860C0A16}"/>
            </c:ext>
          </c:extLst>
        </c:ser>
        <c:ser>
          <c:idx val="10"/>
          <c:order val="13"/>
          <c:tx>
            <c:v>rho0, Mu0, Poro0.3, Re=10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'Fluidization &amp; settling veloc.'!$H$10:$H$19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veloc.'!$P$10:$P$19</c:f>
              <c:numCache>
                <c:formatCode>0.00E+00</c:formatCode>
                <c:ptCount val="10"/>
                <c:pt idx="0">
                  <c:v>5.2392510193520123E-4</c:v>
                </c:pt>
                <c:pt idx="1">
                  <c:v>1.1715321430456165E-3</c:v>
                </c:pt>
                <c:pt idx="2">
                  <c:v>1.6567966454511278E-3</c:v>
                </c:pt>
                <c:pt idx="3">
                  <c:v>3.7047099241223395E-3</c:v>
                </c:pt>
                <c:pt idx="4">
                  <c:v>5.2392510193520125E-3</c:v>
                </c:pt>
                <c:pt idx="5">
                  <c:v>1.1715321430456166E-2</c:v>
                </c:pt>
                <c:pt idx="6">
                  <c:v>1.6567966454511279E-2</c:v>
                </c:pt>
                <c:pt idx="7">
                  <c:v>3.7047099241223395E-2</c:v>
                </c:pt>
                <c:pt idx="8">
                  <c:v>5.239251019352012E-2</c:v>
                </c:pt>
                <c:pt idx="9">
                  <c:v>0.11715321430456165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663-4EC1-A17B-ED98860C0A16}"/>
            </c:ext>
          </c:extLst>
        </c:ser>
        <c:ser>
          <c:idx val="11"/>
          <c:order val="14"/>
          <c:tx>
            <c:v>rho0, Mu0, Poro0.3, Re=100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'Fluidization &amp; settling veloc.'!$H$10:$H$19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veloc.'!$Q$10:$Q$19</c:f>
              <c:numCache>
                <c:formatCode>0.00E+00</c:formatCode>
                <c:ptCount val="10"/>
                <c:pt idx="0">
                  <c:v>1.0478502038704025E-3</c:v>
                </c:pt>
                <c:pt idx="1">
                  <c:v>2.3430642860912329E-3</c:v>
                </c:pt>
                <c:pt idx="2">
                  <c:v>3.3135932909022555E-3</c:v>
                </c:pt>
                <c:pt idx="3">
                  <c:v>7.4094198482446789E-3</c:v>
                </c:pt>
                <c:pt idx="4">
                  <c:v>1.0478502038704025E-2</c:v>
                </c:pt>
                <c:pt idx="5">
                  <c:v>2.3430642860912333E-2</c:v>
                </c:pt>
                <c:pt idx="6">
                  <c:v>3.3135932909022559E-2</c:v>
                </c:pt>
                <c:pt idx="7">
                  <c:v>7.4094198482446791E-2</c:v>
                </c:pt>
                <c:pt idx="8">
                  <c:v>0.10478502038704024</c:v>
                </c:pt>
                <c:pt idx="9">
                  <c:v>0.23430642860912329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663-4EC1-A17B-ED98860C0A16}"/>
            </c:ext>
          </c:extLst>
        </c:ser>
        <c:ser>
          <c:idx val="12"/>
          <c:order val="15"/>
          <c:tx>
            <c:v>rho1, Mu1, Poro0.3, Re=1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'Fluidization &amp; settling veloc.'!$H$23:$H$32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veloc.'!$O$23:$O$32</c:f>
              <c:numCache>
                <c:formatCode>0.00E+00</c:formatCode>
                <c:ptCount val="10"/>
                <c:pt idx="0">
                  <c:v>1.7379193997163502E-4</c:v>
                </c:pt>
                <c:pt idx="1">
                  <c:v>3.8861059171813885E-4</c:v>
                </c:pt>
                <c:pt idx="2">
                  <c:v>5.4957836928962547E-4</c:v>
                </c:pt>
                <c:pt idx="3">
                  <c:v>1.2288945926950854E-3</c:v>
                </c:pt>
                <c:pt idx="4">
                  <c:v>1.7379193997163504E-3</c:v>
                </c:pt>
                <c:pt idx="5">
                  <c:v>3.8861059171813885E-3</c:v>
                </c:pt>
                <c:pt idx="6">
                  <c:v>5.4957836928962549E-3</c:v>
                </c:pt>
                <c:pt idx="7">
                  <c:v>1.2288945926950854E-2</c:v>
                </c:pt>
                <c:pt idx="8">
                  <c:v>1.7379193997163506E-2</c:v>
                </c:pt>
                <c:pt idx="9">
                  <c:v>3.8861059171813879E-2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663-4EC1-A17B-ED98860C0A16}"/>
            </c:ext>
          </c:extLst>
        </c:ser>
        <c:ser>
          <c:idx val="13"/>
          <c:order val="16"/>
          <c:tx>
            <c:v>rho1, Mu1, Poro0.3, Re=10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'Fluidization &amp; settling veloc.'!$H$23:$H$32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veloc.'!$P$23:$P$32</c:f>
              <c:numCache>
                <c:formatCode>0.00E+00</c:formatCode>
                <c:ptCount val="10"/>
                <c:pt idx="0">
                  <c:v>4.7594882917524124E-4</c:v>
                </c:pt>
                <c:pt idx="1">
                  <c:v>1.0642539358472747E-3</c:v>
                </c:pt>
                <c:pt idx="2">
                  <c:v>1.5050823498841616E-3</c:v>
                </c:pt>
                <c:pt idx="3">
                  <c:v>3.365466446076108E-3</c:v>
                </c:pt>
                <c:pt idx="4">
                  <c:v>4.7594882917524122E-3</c:v>
                </c:pt>
                <c:pt idx="5">
                  <c:v>1.0642539358472746E-2</c:v>
                </c:pt>
                <c:pt idx="6">
                  <c:v>1.5050823498841615E-2</c:v>
                </c:pt>
                <c:pt idx="7">
                  <c:v>3.3654664460761083E-2</c:v>
                </c:pt>
                <c:pt idx="8">
                  <c:v>4.7594882917524124E-2</c:v>
                </c:pt>
                <c:pt idx="9">
                  <c:v>0.10642539358472747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663-4EC1-A17B-ED98860C0A16}"/>
            </c:ext>
          </c:extLst>
        </c:ser>
        <c:ser>
          <c:idx val="14"/>
          <c:order val="17"/>
          <c:tx>
            <c:v>rho1, Mu1, Poro0.3, Re=100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'Fluidization &amp; settling veloc.'!$H$23:$H$32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veloc.'!$Q$23:$Q$32</c:f>
              <c:numCache>
                <c:formatCode>0.00E+00</c:formatCode>
                <c:ptCount val="10"/>
                <c:pt idx="0">
                  <c:v>9.5189765835048247E-4</c:v>
                </c:pt>
                <c:pt idx="1">
                  <c:v>2.1285078716945494E-3</c:v>
                </c:pt>
                <c:pt idx="2">
                  <c:v>3.0101646997683232E-3</c:v>
                </c:pt>
                <c:pt idx="3">
                  <c:v>6.7309328921522161E-3</c:v>
                </c:pt>
                <c:pt idx="4">
                  <c:v>9.5189765835048245E-3</c:v>
                </c:pt>
                <c:pt idx="5">
                  <c:v>2.1285078716945492E-2</c:v>
                </c:pt>
                <c:pt idx="6">
                  <c:v>3.010164699768323E-2</c:v>
                </c:pt>
                <c:pt idx="7">
                  <c:v>6.7309328921522166E-2</c:v>
                </c:pt>
                <c:pt idx="8">
                  <c:v>9.5189765835048248E-2</c:v>
                </c:pt>
                <c:pt idx="9">
                  <c:v>0.21285078716945494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663-4EC1-A17B-ED98860C0A16}"/>
            </c:ext>
          </c:extLst>
        </c:ser>
        <c:ser>
          <c:idx val="15"/>
          <c:order val="18"/>
          <c:tx>
            <c:v>rho2, Mu2, Poro0.3, Re=1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'Fluidization &amp; settling veloc.'!$H$36:$H$45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veloc.'!$O$36:$O$45</c:f>
              <c:numCache>
                <c:formatCode>0.00E+00</c:formatCode>
                <c:ptCount val="10"/>
                <c:pt idx="0">
                  <c:v>1.6860663076484673E-4</c:v>
                </c:pt>
                <c:pt idx="1">
                  <c:v>3.7701588784740467E-4</c:v>
                </c:pt>
                <c:pt idx="2">
                  <c:v>5.3318098182393342E-4</c:v>
                </c:pt>
                <c:pt idx="3">
                  <c:v>1.1922289196683949E-3</c:v>
                </c:pt>
                <c:pt idx="4">
                  <c:v>1.6860663076484672E-3</c:v>
                </c:pt>
                <c:pt idx="5">
                  <c:v>3.7701588784740461E-3</c:v>
                </c:pt>
                <c:pt idx="6">
                  <c:v>5.3318098182393338E-3</c:v>
                </c:pt>
                <c:pt idx="7">
                  <c:v>1.1922289196683948E-2</c:v>
                </c:pt>
                <c:pt idx="8">
                  <c:v>1.6860663076484671E-2</c:v>
                </c:pt>
                <c:pt idx="9">
                  <c:v>3.7701588784740468E-2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663-4EC1-A17B-ED98860C0A16}"/>
            </c:ext>
          </c:extLst>
        </c:ser>
        <c:ser>
          <c:idx val="16"/>
          <c:order val="19"/>
          <c:tx>
            <c:v>rho2, Mu2, Poro0.3, Re=10</c:v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'Fluidization &amp; settling veloc.'!$H$36:$H$45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veloc.'!$P$36:$P$45</c:f>
              <c:numCache>
                <c:formatCode>0.00E+00</c:formatCode>
                <c:ptCount val="10"/>
                <c:pt idx="0">
                  <c:v>4.6174827507425536E-4</c:v>
                </c:pt>
                <c:pt idx="1">
                  <c:v>1.0325005315593068E-3</c:v>
                </c:pt>
                <c:pt idx="2">
                  <c:v>1.4601762548886014E-3</c:v>
                </c:pt>
                <c:pt idx="3">
                  <c:v>3.2650533650619719E-3</c:v>
                </c:pt>
                <c:pt idx="4">
                  <c:v>4.6174827507425532E-3</c:v>
                </c:pt>
                <c:pt idx="5">
                  <c:v>1.0325005315593067E-2</c:v>
                </c:pt>
                <c:pt idx="6">
                  <c:v>1.4601762548886014E-2</c:v>
                </c:pt>
                <c:pt idx="7">
                  <c:v>3.265053365061972E-2</c:v>
                </c:pt>
                <c:pt idx="8">
                  <c:v>4.6174827507425534E-2</c:v>
                </c:pt>
                <c:pt idx="9">
                  <c:v>0.10325005315593068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663-4EC1-A17B-ED98860C0A16}"/>
            </c:ext>
          </c:extLst>
        </c:ser>
        <c:ser>
          <c:idx val="17"/>
          <c:order val="20"/>
          <c:tx>
            <c:v>rho2, Mu2, Poro0.3, Re=100</c:v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'Fluidization &amp; settling veloc.'!$H$36:$H$45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0.5</c:v>
                </c:pt>
                <c:pt idx="4">
                  <c:v>1</c:v>
                </c:pt>
                <c:pt idx="5">
                  <c:v>5</c:v>
                </c:pt>
                <c:pt idx="6">
                  <c:v>10</c:v>
                </c:pt>
                <c:pt idx="7">
                  <c:v>50</c:v>
                </c:pt>
                <c:pt idx="8">
                  <c:v>100</c:v>
                </c:pt>
                <c:pt idx="9">
                  <c:v>500</c:v>
                </c:pt>
              </c:numCache>
            </c:numRef>
          </c:xVal>
          <c:yVal>
            <c:numRef>
              <c:f>'Fluidization &amp; settling veloc.'!$Q$36:$Q$45</c:f>
              <c:numCache>
                <c:formatCode>0.00E+00</c:formatCode>
                <c:ptCount val="10"/>
                <c:pt idx="0">
                  <c:v>9.2349655014851073E-4</c:v>
                </c:pt>
                <c:pt idx="1">
                  <c:v>2.0650010631186135E-3</c:v>
                </c:pt>
                <c:pt idx="2">
                  <c:v>2.9203525097772028E-3</c:v>
                </c:pt>
                <c:pt idx="3">
                  <c:v>6.5301067301239439E-3</c:v>
                </c:pt>
                <c:pt idx="4">
                  <c:v>9.2349655014851064E-3</c:v>
                </c:pt>
                <c:pt idx="5">
                  <c:v>2.0650010631186135E-2</c:v>
                </c:pt>
                <c:pt idx="6">
                  <c:v>2.9203525097772028E-2</c:v>
                </c:pt>
                <c:pt idx="7">
                  <c:v>6.530106730123944E-2</c:v>
                </c:pt>
                <c:pt idx="8">
                  <c:v>9.2349655014851068E-2</c:v>
                </c:pt>
                <c:pt idx="9">
                  <c:v>0.20650010631186136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663-4EC1-A17B-ED98860C0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5194768"/>
        <c:axId val="1855195248"/>
      </c:scatterChart>
      <c:valAx>
        <c:axId val="1855194768"/>
        <c:scaling>
          <c:logBase val="10"/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050" b="1"/>
                  <a:t>Droplet</a:t>
                </a:r>
                <a:r>
                  <a:rPr lang="es-CO" sz="1050" b="1" baseline="0"/>
                  <a:t> diameter, Dp (micro m)</a:t>
                </a:r>
                <a:endParaRPr lang="es-CO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55195248"/>
        <c:crosses val="max"/>
        <c:crossBetween val="midCat"/>
      </c:valAx>
      <c:valAx>
        <c:axId val="1855195248"/>
        <c:scaling>
          <c:logBase val="10"/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050" b="1"/>
                  <a:t>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55194768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309037337024871"/>
          <c:y val="7.9134364986834127E-2"/>
          <c:w val="0.1578922559632823"/>
          <c:h val="0.829707873250753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b="1"/>
              <a:t>Pressure gradient to sustain minimum fluidization of melt droplets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Poro0.3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'Pressure gradient'!$L$7:$M$7</c:f>
              <c:numCache>
                <c:formatCode>General</c:formatCode>
                <c:ptCount val="2"/>
                <c:pt idx="0">
                  <c:v>0.1</c:v>
                </c:pt>
                <c:pt idx="1">
                  <c:v>4000</c:v>
                </c:pt>
              </c:numCache>
            </c:numRef>
          </c:xVal>
          <c:yVal>
            <c:numRef>
              <c:f>'Pressure gradient'!$L$8:$M$8</c:f>
              <c:numCache>
                <c:formatCode>0.0</c:formatCode>
                <c:ptCount val="2"/>
                <c:pt idx="0">
                  <c:v>3.7479630427765913E-3</c:v>
                </c:pt>
                <c:pt idx="1">
                  <c:v>149.91852171106365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BA-49B8-ACDE-E9E67899A379}"/>
            </c:ext>
          </c:extLst>
        </c:ser>
        <c:ser>
          <c:idx val="1"/>
          <c:order val="1"/>
          <c:tx>
            <c:v>Poro0.5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'Pressure gradient'!$L$7:$M$7</c:f>
              <c:numCache>
                <c:formatCode>General</c:formatCode>
                <c:ptCount val="2"/>
                <c:pt idx="0">
                  <c:v>0.1</c:v>
                </c:pt>
                <c:pt idx="1">
                  <c:v>4000</c:v>
                </c:pt>
              </c:numCache>
            </c:numRef>
          </c:xVal>
          <c:yVal>
            <c:numRef>
              <c:f>'Pressure gradient'!$L$9:$M$9</c:f>
              <c:numCache>
                <c:formatCode>0.0</c:formatCode>
                <c:ptCount val="2"/>
                <c:pt idx="0">
                  <c:v>2.6791027987834713E-3</c:v>
                </c:pt>
                <c:pt idx="1">
                  <c:v>107.16411195133884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BA-49B8-ACDE-E9E67899A379}"/>
            </c:ext>
          </c:extLst>
        </c:ser>
        <c:ser>
          <c:idx val="2"/>
          <c:order val="2"/>
          <c:tx>
            <c:v>Poro0.7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'Pressure gradient'!$L$7:$M$7</c:f>
              <c:numCache>
                <c:formatCode>General</c:formatCode>
                <c:ptCount val="2"/>
                <c:pt idx="0">
                  <c:v>0.1</c:v>
                </c:pt>
                <c:pt idx="1">
                  <c:v>4000</c:v>
                </c:pt>
              </c:numCache>
            </c:numRef>
          </c:xVal>
          <c:yVal>
            <c:numRef>
              <c:f>'Pressure gradient'!$L$10:$M$10</c:f>
              <c:numCache>
                <c:formatCode>0.0</c:formatCode>
                <c:ptCount val="2"/>
                <c:pt idx="0">
                  <c:v>1.6163081709157242E-3</c:v>
                </c:pt>
                <c:pt idx="1">
                  <c:v>64.652326836628973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BA-49B8-ACDE-E9E67899A379}"/>
            </c:ext>
          </c:extLst>
        </c:ser>
        <c:ser>
          <c:idx val="3"/>
          <c:order val="3"/>
          <c:tx>
            <c:v>Poro0.9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'Pressure gradient'!$L$7:$M$7</c:f>
              <c:numCache>
                <c:formatCode>General</c:formatCode>
                <c:ptCount val="2"/>
                <c:pt idx="0">
                  <c:v>0.1</c:v>
                </c:pt>
                <c:pt idx="1">
                  <c:v>4000</c:v>
                </c:pt>
              </c:numCache>
            </c:numRef>
          </c:xVal>
          <c:yVal>
            <c:numRef>
              <c:f>'Pressure gradient'!$L$11:$M$11</c:f>
              <c:numCache>
                <c:formatCode>0.0</c:formatCode>
                <c:ptCount val="2"/>
                <c:pt idx="0">
                  <c:v>5.999896050173524E-4</c:v>
                </c:pt>
                <c:pt idx="1">
                  <c:v>23.999584200694095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71-4C8E-BAB7-A683AF19F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427295"/>
        <c:axId val="1613905168"/>
      </c:scatterChart>
      <c:valAx>
        <c:axId val="667427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050" b="1"/>
                  <a:t>Distance to source, </a:t>
                </a:r>
                <a:r>
                  <a:rPr lang="es-CO" sz="1050" b="1" i="1"/>
                  <a:t>L</a:t>
                </a:r>
                <a:r>
                  <a:rPr lang="es-CO" sz="1050" b="1" i="0"/>
                  <a:t> (m)</a:t>
                </a:r>
                <a:endParaRPr lang="es-CO" sz="1050" b="1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13905168"/>
        <c:crosses val="autoZero"/>
        <c:crossBetween val="midCat"/>
      </c:valAx>
      <c:valAx>
        <c:axId val="161390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050" b="1"/>
                  <a:t>Pressure gradient, </a:t>
                </a:r>
                <a:r>
                  <a:rPr lang="el-GR" sz="1050" b="1"/>
                  <a:t>Δ</a:t>
                </a:r>
                <a:r>
                  <a:rPr lang="es-CO" sz="1050" b="1" i="1"/>
                  <a:t>Pre</a:t>
                </a:r>
                <a:r>
                  <a:rPr lang="es-CO" sz="1050" b="1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74272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2 mol/kg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3.9636920384951884E-3"/>
                  <c:y val="-0.336512396579680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'Fluid viscosity'!$A$6:$A$32</c:f>
              <c:numCache>
                <c:formatCode>General</c:formatCode>
                <c:ptCount val="27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100</c:v>
                </c:pt>
                <c:pt idx="17">
                  <c:v>105</c:v>
                </c:pt>
                <c:pt idx="18">
                  <c:v>110</c:v>
                </c:pt>
                <c:pt idx="19">
                  <c:v>115</c:v>
                </c:pt>
                <c:pt idx="20">
                  <c:v>120</c:v>
                </c:pt>
                <c:pt idx="21">
                  <c:v>125</c:v>
                </c:pt>
                <c:pt idx="22">
                  <c:v>130</c:v>
                </c:pt>
                <c:pt idx="23">
                  <c:v>135</c:v>
                </c:pt>
                <c:pt idx="24">
                  <c:v>140</c:v>
                </c:pt>
                <c:pt idx="25">
                  <c:v>145</c:v>
                </c:pt>
                <c:pt idx="26">
                  <c:v>150</c:v>
                </c:pt>
              </c:numCache>
            </c:numRef>
          </c:xVal>
          <c:yVal>
            <c:numRef>
              <c:f>'Fluid viscosity'!$G$6:$G$32</c:f>
              <c:numCache>
                <c:formatCode>General</c:formatCode>
                <c:ptCount val="27"/>
                <c:pt idx="0">
                  <c:v>1744.6</c:v>
                </c:pt>
                <c:pt idx="1">
                  <c:v>1556.2</c:v>
                </c:pt>
                <c:pt idx="2">
                  <c:v>1399.1</c:v>
                </c:pt>
                <c:pt idx="3">
                  <c:v>1266.8</c:v>
                </c:pt>
                <c:pt idx="4">
                  <c:v>1154</c:v>
                </c:pt>
                <c:pt idx="5">
                  <c:v>1057.0999999999999</c:v>
                </c:pt>
                <c:pt idx="6">
                  <c:v>973.2</c:v>
                </c:pt>
                <c:pt idx="7">
                  <c:v>899.8</c:v>
                </c:pt>
                <c:pt idx="8">
                  <c:v>835.4</c:v>
                </c:pt>
                <c:pt idx="9">
                  <c:v>778.4</c:v>
                </c:pt>
                <c:pt idx="10">
                  <c:v>727.7</c:v>
                </c:pt>
                <c:pt idx="11">
                  <c:v>682.5</c:v>
                </c:pt>
                <c:pt idx="12">
                  <c:v>641.79999999999995</c:v>
                </c:pt>
                <c:pt idx="13">
                  <c:v>605.1</c:v>
                </c:pt>
                <c:pt idx="14">
                  <c:v>572</c:v>
                </c:pt>
                <c:pt idx="15">
                  <c:v>541.9</c:v>
                </c:pt>
                <c:pt idx="16">
                  <c:v>514.4</c:v>
                </c:pt>
                <c:pt idx="17">
                  <c:v>489.4</c:v>
                </c:pt>
                <c:pt idx="18">
                  <c:v>466.4</c:v>
                </c:pt>
                <c:pt idx="19">
                  <c:v>445.4</c:v>
                </c:pt>
                <c:pt idx="20">
                  <c:v>426</c:v>
                </c:pt>
                <c:pt idx="21">
                  <c:v>408.2</c:v>
                </c:pt>
                <c:pt idx="22">
                  <c:v>391.8</c:v>
                </c:pt>
                <c:pt idx="23">
                  <c:v>376.6</c:v>
                </c:pt>
                <c:pt idx="24">
                  <c:v>362.6</c:v>
                </c:pt>
                <c:pt idx="25">
                  <c:v>349.6</c:v>
                </c:pt>
                <c:pt idx="26">
                  <c:v>337.6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DC-44A2-BB53-C613BF58D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318575"/>
        <c:axId val="445707935"/>
      </c:scatterChart>
      <c:valAx>
        <c:axId val="790318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5707935"/>
        <c:crosses val="autoZero"/>
        <c:crossBetween val="midCat"/>
        <c:minorUnit val="10"/>
      </c:valAx>
      <c:valAx>
        <c:axId val="445707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0318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0 mol/kg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'Fluid viscosity'!$A$6:$A$82</c:f>
              <c:numCache>
                <c:formatCode>General</c:formatCode>
                <c:ptCount val="77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100</c:v>
                </c:pt>
                <c:pt idx="17">
                  <c:v>105</c:v>
                </c:pt>
                <c:pt idx="18">
                  <c:v>110</c:v>
                </c:pt>
                <c:pt idx="19">
                  <c:v>115</c:v>
                </c:pt>
                <c:pt idx="20">
                  <c:v>120</c:v>
                </c:pt>
                <c:pt idx="21">
                  <c:v>125</c:v>
                </c:pt>
                <c:pt idx="22">
                  <c:v>130</c:v>
                </c:pt>
                <c:pt idx="23">
                  <c:v>135</c:v>
                </c:pt>
                <c:pt idx="24">
                  <c:v>140</c:v>
                </c:pt>
                <c:pt idx="25">
                  <c:v>145</c:v>
                </c:pt>
                <c:pt idx="26">
                  <c:v>150</c:v>
                </c:pt>
                <c:pt idx="27">
                  <c:v>155</c:v>
                </c:pt>
                <c:pt idx="28">
                  <c:v>160</c:v>
                </c:pt>
                <c:pt idx="29">
                  <c:v>165</c:v>
                </c:pt>
                <c:pt idx="30">
                  <c:v>170</c:v>
                </c:pt>
                <c:pt idx="31">
                  <c:v>175</c:v>
                </c:pt>
                <c:pt idx="32">
                  <c:v>180</c:v>
                </c:pt>
                <c:pt idx="33">
                  <c:v>185</c:v>
                </c:pt>
                <c:pt idx="34">
                  <c:v>190</c:v>
                </c:pt>
                <c:pt idx="35">
                  <c:v>195</c:v>
                </c:pt>
                <c:pt idx="36">
                  <c:v>200</c:v>
                </c:pt>
                <c:pt idx="37">
                  <c:v>205</c:v>
                </c:pt>
                <c:pt idx="38">
                  <c:v>210</c:v>
                </c:pt>
                <c:pt idx="39">
                  <c:v>215</c:v>
                </c:pt>
                <c:pt idx="40">
                  <c:v>220</c:v>
                </c:pt>
                <c:pt idx="41">
                  <c:v>225</c:v>
                </c:pt>
                <c:pt idx="42">
                  <c:v>230</c:v>
                </c:pt>
                <c:pt idx="43">
                  <c:v>235</c:v>
                </c:pt>
                <c:pt idx="44">
                  <c:v>240</c:v>
                </c:pt>
                <c:pt idx="45">
                  <c:v>245</c:v>
                </c:pt>
                <c:pt idx="46">
                  <c:v>250</c:v>
                </c:pt>
                <c:pt idx="47">
                  <c:v>255</c:v>
                </c:pt>
                <c:pt idx="48">
                  <c:v>260</c:v>
                </c:pt>
                <c:pt idx="49">
                  <c:v>265</c:v>
                </c:pt>
                <c:pt idx="50">
                  <c:v>270</c:v>
                </c:pt>
                <c:pt idx="51">
                  <c:v>275</c:v>
                </c:pt>
                <c:pt idx="52">
                  <c:v>280</c:v>
                </c:pt>
                <c:pt idx="53">
                  <c:v>285</c:v>
                </c:pt>
                <c:pt idx="54">
                  <c:v>290</c:v>
                </c:pt>
                <c:pt idx="55">
                  <c:v>295</c:v>
                </c:pt>
                <c:pt idx="56">
                  <c:v>300</c:v>
                </c:pt>
                <c:pt idx="57">
                  <c:v>305</c:v>
                </c:pt>
                <c:pt idx="58">
                  <c:v>310</c:v>
                </c:pt>
                <c:pt idx="59">
                  <c:v>315</c:v>
                </c:pt>
                <c:pt idx="60">
                  <c:v>320</c:v>
                </c:pt>
                <c:pt idx="61">
                  <c:v>325</c:v>
                </c:pt>
                <c:pt idx="62">
                  <c:v>330</c:v>
                </c:pt>
                <c:pt idx="63">
                  <c:v>335</c:v>
                </c:pt>
                <c:pt idx="64">
                  <c:v>340</c:v>
                </c:pt>
                <c:pt idx="65">
                  <c:v>345</c:v>
                </c:pt>
                <c:pt idx="66">
                  <c:v>350</c:v>
                </c:pt>
                <c:pt idx="67">
                  <c:v>355</c:v>
                </c:pt>
                <c:pt idx="68">
                  <c:v>360</c:v>
                </c:pt>
                <c:pt idx="69">
                  <c:v>365</c:v>
                </c:pt>
                <c:pt idx="70">
                  <c:v>370</c:v>
                </c:pt>
                <c:pt idx="71">
                  <c:v>375</c:v>
                </c:pt>
                <c:pt idx="72">
                  <c:v>380</c:v>
                </c:pt>
                <c:pt idx="73">
                  <c:v>385</c:v>
                </c:pt>
                <c:pt idx="74">
                  <c:v>390</c:v>
                </c:pt>
                <c:pt idx="75">
                  <c:v>395</c:v>
                </c:pt>
                <c:pt idx="76">
                  <c:v>400</c:v>
                </c:pt>
              </c:numCache>
            </c:numRef>
          </c:xVal>
          <c:yVal>
            <c:numRef>
              <c:f>'Fluid viscosity'!$B$6:$B$82</c:f>
              <c:numCache>
                <c:formatCode>General</c:formatCode>
                <c:ptCount val="77"/>
                <c:pt idx="0">
                  <c:v>990.2</c:v>
                </c:pt>
                <c:pt idx="1">
                  <c:v>883.9</c:v>
                </c:pt>
                <c:pt idx="2">
                  <c:v>795.1</c:v>
                </c:pt>
                <c:pt idx="3">
                  <c:v>719.9</c:v>
                </c:pt>
                <c:pt idx="4">
                  <c:v>655.7</c:v>
                </c:pt>
                <c:pt idx="5">
                  <c:v>600.4</c:v>
                </c:pt>
                <c:pt idx="6">
                  <c:v>552.4</c:v>
                </c:pt>
                <c:pt idx="7">
                  <c:v>510.4</c:v>
                </c:pt>
                <c:pt idx="8">
                  <c:v>473.5</c:v>
                </c:pt>
                <c:pt idx="9">
                  <c:v>440.8</c:v>
                </c:pt>
                <c:pt idx="10">
                  <c:v>411.8</c:v>
                </c:pt>
                <c:pt idx="11">
                  <c:v>385.8</c:v>
                </c:pt>
                <c:pt idx="12">
                  <c:v>362.5</c:v>
                </c:pt>
                <c:pt idx="13">
                  <c:v>341.5</c:v>
                </c:pt>
                <c:pt idx="14">
                  <c:v>322.5</c:v>
                </c:pt>
                <c:pt idx="15">
                  <c:v>305.3</c:v>
                </c:pt>
                <c:pt idx="16">
                  <c:v>289.7</c:v>
                </c:pt>
                <c:pt idx="17">
                  <c:v>275.39999999999998</c:v>
                </c:pt>
                <c:pt idx="18">
                  <c:v>262.39999999999998</c:v>
                </c:pt>
                <c:pt idx="19">
                  <c:v>250.4</c:v>
                </c:pt>
                <c:pt idx="20">
                  <c:v>239.5</c:v>
                </c:pt>
                <c:pt idx="21">
                  <c:v>229.4</c:v>
                </c:pt>
                <c:pt idx="22">
                  <c:v>220.1</c:v>
                </c:pt>
                <c:pt idx="23">
                  <c:v>211.5</c:v>
                </c:pt>
                <c:pt idx="24">
                  <c:v>203.6</c:v>
                </c:pt>
                <c:pt idx="25">
                  <c:v>196.2</c:v>
                </c:pt>
                <c:pt idx="26">
                  <c:v>189.4</c:v>
                </c:pt>
                <c:pt idx="27" formatCode="0.0">
                  <c:v>195.81191359787536</c:v>
                </c:pt>
                <c:pt idx="28" formatCode="0.0">
                  <c:v>190.50757355169944</c:v>
                </c:pt>
                <c:pt idx="29" formatCode="0.0">
                  <c:v>185.50363271159551</c:v>
                </c:pt>
                <c:pt idx="30" formatCode="0.0">
                  <c:v>180.77472667223324</c:v>
                </c:pt>
                <c:pt idx="31" formatCode="0.0">
                  <c:v>176.29829752901227</c:v>
                </c:pt>
                <c:pt idx="32" formatCode="0.0">
                  <c:v>172.05421387734381</c:v>
                </c:pt>
                <c:pt idx="33" formatCode="0.0">
                  <c:v>168.02445116099176</c:v>
                </c:pt>
                <c:pt idx="34" formatCode="0.0">
                  <c:v>164.19282144679642</c:v>
                </c:pt>
                <c:pt idx="35" formatCode="0.0">
                  <c:v>160.54474390982887</c:v>
                </c:pt>
                <c:pt idx="36" formatCode="0.0">
                  <c:v>157.06704902980781</c:v>
                </c:pt>
                <c:pt idx="37" formatCode="0.0">
                  <c:v>153.74781084456646</c:v>
                </c:pt>
                <c:pt idx="38" formatCode="0.0">
                  <c:v>150.57620266694252</c:v>
                </c:pt>
                <c:pt idx="39" formatCode="0.0">
                  <c:v>147.54237251304036</c:v>
                </c:pt>
                <c:pt idx="40" formatCode="0.0">
                  <c:v>144.63733516156765</c:v>
                </c:pt>
                <c:pt idx="41" formatCode="0.0">
                  <c:v>141.8528783031509</c:v>
                </c:pt>
                <c:pt idx="42" formatCode="0.0">
                  <c:v>139.18148067366477</c:v>
                </c:pt>
                <c:pt idx="43" formatCode="0.0">
                  <c:v>136.61624041855453</c:v>
                </c:pt>
                <c:pt idx="44" formatCode="0.0">
                  <c:v>134.15081222278346</c:v>
                </c:pt>
                <c:pt idx="45" formatCode="0.0">
                  <c:v>131.77935197657925</c:v>
                </c:pt>
                <c:pt idx="46" formatCode="0.0">
                  <c:v>129.49646794087764</c:v>
                </c:pt>
                <c:pt idx="47" formatCode="0.0">
                  <c:v>127.29717753635971</c:v>
                </c:pt>
                <c:pt idx="48" formatCode="0.0">
                  <c:v>125.17686901267076</c:v>
                </c:pt>
                <c:pt idx="49" formatCode="0.0">
                  <c:v>123.1312673648717</c:v>
                </c:pt>
                <c:pt idx="50" formatCode="0.0">
                  <c:v>121.15640395647816</c:v>
                </c:pt>
                <c:pt idx="51" formatCode="0.0">
                  <c:v>119.24858938585764</c:v>
                </c:pt>
                <c:pt idx="52" formatCode="0.0">
                  <c:v>117.40438919789067</c:v>
                </c:pt>
                <c:pt idx="53" formatCode="0.0">
                  <c:v>115.62060209779889</c:v>
                </c:pt>
                <c:pt idx="54" formatCode="0.0">
                  <c:v>113.89424037062845</c:v>
                </c:pt>
                <c:pt idx="55" formatCode="0.0">
                  <c:v>112.22251224944215</c:v>
                </c:pt>
                <c:pt idx="56" formatCode="0.0">
                  <c:v>110.6028060090029</c:v>
                </c:pt>
                <c:pt idx="57" formatCode="0.0">
                  <c:v>109.03267559053677</c:v>
                </c:pt>
                <c:pt idx="58" formatCode="0.0">
                  <c:v>107.50982758785875</c:v>
                </c:pt>
                <c:pt idx="59" formatCode="0.0">
                  <c:v>106.03210944635222</c:v>
                </c:pt>
                <c:pt idx="60" formatCode="0.0">
                  <c:v>104.59749874456455</c:v>
                </c:pt>
                <c:pt idx="61" formatCode="0.0">
                  <c:v>103.20409344395641</c:v>
                </c:pt>
                <c:pt idx="62" formatCode="0.0">
                  <c:v>101.85010300599771</c:v>
                </c:pt>
                <c:pt idx="63" formatCode="0.0">
                  <c:v>100.53384028764617</c:v>
                </c:pt>
                <c:pt idx="64" formatCode="0.0">
                  <c:v>99.25371413654868</c:v>
                </c:pt>
                <c:pt idx="65" formatCode="0.0">
                  <c:v>98.008222616277109</c:v>
                </c:pt>
                <c:pt idx="66" formatCode="0.0">
                  <c:v>96.795946799749828</c:v>
                </c:pt>
                <c:pt idx="67" formatCode="0.0">
                  <c:v>95.615545075847507</c:v>
                </c:pt>
                <c:pt idx="68" formatCode="0.0">
                  <c:v>94.465747920245718</c:v>
                </c:pt>
                <c:pt idx="69" formatCode="0.0">
                  <c:v>93.345353086765996</c:v>
                </c:pt>
                <c:pt idx="70" formatCode="0.0">
                  <c:v>92.253221180199034</c:v>
                </c:pt>
                <c:pt idx="71" formatCode="0.0">
                  <c:v>91.188271575649409</c:v>
                </c:pt>
                <c:pt idx="72" formatCode="0.0">
                  <c:v>90.149478653073714</c:v>
                </c:pt>
                <c:pt idx="73" formatCode="0.0">
                  <c:v>89.135868318884278</c:v>
                </c:pt>
                <c:pt idx="74" formatCode="0.0">
                  <c:v>88.14651478933267</c:v>
                </c:pt>
                <c:pt idx="75" formatCode="0.0">
                  <c:v>87.18053761290227</c:v>
                </c:pt>
                <c:pt idx="76" formatCode="0.0">
                  <c:v>86.237098911185115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52-4458-A07C-632352DE17D0}"/>
            </c:ext>
          </c:extLst>
        </c:ser>
        <c:ser>
          <c:idx val="1"/>
          <c:order val="1"/>
          <c:tx>
            <c:v>1 mol/kg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'Fluid viscosity'!$A$6:$A$82</c:f>
              <c:numCache>
                <c:formatCode>General</c:formatCode>
                <c:ptCount val="77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100</c:v>
                </c:pt>
                <c:pt idx="17">
                  <c:v>105</c:v>
                </c:pt>
                <c:pt idx="18">
                  <c:v>110</c:v>
                </c:pt>
                <c:pt idx="19">
                  <c:v>115</c:v>
                </c:pt>
                <c:pt idx="20">
                  <c:v>120</c:v>
                </c:pt>
                <c:pt idx="21">
                  <c:v>125</c:v>
                </c:pt>
                <c:pt idx="22">
                  <c:v>130</c:v>
                </c:pt>
                <c:pt idx="23">
                  <c:v>135</c:v>
                </c:pt>
                <c:pt idx="24">
                  <c:v>140</c:v>
                </c:pt>
                <c:pt idx="25">
                  <c:v>145</c:v>
                </c:pt>
                <c:pt idx="26">
                  <c:v>150</c:v>
                </c:pt>
                <c:pt idx="27">
                  <c:v>155</c:v>
                </c:pt>
                <c:pt idx="28">
                  <c:v>160</c:v>
                </c:pt>
                <c:pt idx="29">
                  <c:v>165</c:v>
                </c:pt>
                <c:pt idx="30">
                  <c:v>170</c:v>
                </c:pt>
                <c:pt idx="31">
                  <c:v>175</c:v>
                </c:pt>
                <c:pt idx="32">
                  <c:v>180</c:v>
                </c:pt>
                <c:pt idx="33">
                  <c:v>185</c:v>
                </c:pt>
                <c:pt idx="34">
                  <c:v>190</c:v>
                </c:pt>
                <c:pt idx="35">
                  <c:v>195</c:v>
                </c:pt>
                <c:pt idx="36">
                  <c:v>200</c:v>
                </c:pt>
                <c:pt idx="37">
                  <c:v>205</c:v>
                </c:pt>
                <c:pt idx="38">
                  <c:v>210</c:v>
                </c:pt>
                <c:pt idx="39">
                  <c:v>215</c:v>
                </c:pt>
                <c:pt idx="40">
                  <c:v>220</c:v>
                </c:pt>
                <c:pt idx="41">
                  <c:v>225</c:v>
                </c:pt>
                <c:pt idx="42">
                  <c:v>230</c:v>
                </c:pt>
                <c:pt idx="43">
                  <c:v>235</c:v>
                </c:pt>
                <c:pt idx="44">
                  <c:v>240</c:v>
                </c:pt>
                <c:pt idx="45">
                  <c:v>245</c:v>
                </c:pt>
                <c:pt idx="46">
                  <c:v>250</c:v>
                </c:pt>
                <c:pt idx="47">
                  <c:v>255</c:v>
                </c:pt>
                <c:pt idx="48">
                  <c:v>260</c:v>
                </c:pt>
                <c:pt idx="49">
                  <c:v>265</c:v>
                </c:pt>
                <c:pt idx="50">
                  <c:v>270</c:v>
                </c:pt>
                <c:pt idx="51">
                  <c:v>275</c:v>
                </c:pt>
                <c:pt idx="52">
                  <c:v>280</c:v>
                </c:pt>
                <c:pt idx="53">
                  <c:v>285</c:v>
                </c:pt>
                <c:pt idx="54">
                  <c:v>290</c:v>
                </c:pt>
                <c:pt idx="55">
                  <c:v>295</c:v>
                </c:pt>
                <c:pt idx="56">
                  <c:v>300</c:v>
                </c:pt>
                <c:pt idx="57">
                  <c:v>305</c:v>
                </c:pt>
                <c:pt idx="58">
                  <c:v>310</c:v>
                </c:pt>
                <c:pt idx="59">
                  <c:v>315</c:v>
                </c:pt>
                <c:pt idx="60">
                  <c:v>320</c:v>
                </c:pt>
                <c:pt idx="61">
                  <c:v>325</c:v>
                </c:pt>
                <c:pt idx="62">
                  <c:v>330</c:v>
                </c:pt>
                <c:pt idx="63">
                  <c:v>335</c:v>
                </c:pt>
                <c:pt idx="64">
                  <c:v>340</c:v>
                </c:pt>
                <c:pt idx="65">
                  <c:v>345</c:v>
                </c:pt>
                <c:pt idx="66">
                  <c:v>350</c:v>
                </c:pt>
                <c:pt idx="67">
                  <c:v>355</c:v>
                </c:pt>
                <c:pt idx="68">
                  <c:v>360</c:v>
                </c:pt>
                <c:pt idx="69">
                  <c:v>365</c:v>
                </c:pt>
                <c:pt idx="70">
                  <c:v>370</c:v>
                </c:pt>
                <c:pt idx="71">
                  <c:v>375</c:v>
                </c:pt>
                <c:pt idx="72">
                  <c:v>380</c:v>
                </c:pt>
                <c:pt idx="73">
                  <c:v>385</c:v>
                </c:pt>
                <c:pt idx="74">
                  <c:v>390</c:v>
                </c:pt>
                <c:pt idx="75">
                  <c:v>395</c:v>
                </c:pt>
                <c:pt idx="76">
                  <c:v>400</c:v>
                </c:pt>
              </c:numCache>
            </c:numRef>
          </c:xVal>
          <c:yVal>
            <c:numRef>
              <c:f>'Fluid viscosity'!$C$6:$C$82</c:f>
              <c:numCache>
                <c:formatCode>General</c:formatCode>
                <c:ptCount val="77"/>
                <c:pt idx="0">
                  <c:v>1089.0999999999999</c:v>
                </c:pt>
                <c:pt idx="1">
                  <c:v>974</c:v>
                </c:pt>
                <c:pt idx="2">
                  <c:v>877.8</c:v>
                </c:pt>
                <c:pt idx="3">
                  <c:v>796.3</c:v>
                </c:pt>
                <c:pt idx="4">
                  <c:v>726.7</c:v>
                </c:pt>
                <c:pt idx="5">
                  <c:v>666.6</c:v>
                </c:pt>
                <c:pt idx="6">
                  <c:v>614.4</c:v>
                </c:pt>
                <c:pt idx="7">
                  <c:v>568.79999999999995</c:v>
                </c:pt>
                <c:pt idx="8">
                  <c:v>528.5</c:v>
                </c:pt>
                <c:pt idx="9">
                  <c:v>492.9</c:v>
                </c:pt>
                <c:pt idx="10">
                  <c:v>461.2</c:v>
                </c:pt>
                <c:pt idx="11">
                  <c:v>432.8</c:v>
                </c:pt>
                <c:pt idx="12">
                  <c:v>407.2</c:v>
                </c:pt>
                <c:pt idx="13">
                  <c:v>384.2</c:v>
                </c:pt>
                <c:pt idx="14">
                  <c:v>363.4</c:v>
                </c:pt>
                <c:pt idx="15">
                  <c:v>344.5</c:v>
                </c:pt>
                <c:pt idx="16">
                  <c:v>327.2</c:v>
                </c:pt>
                <c:pt idx="17">
                  <c:v>311.5</c:v>
                </c:pt>
                <c:pt idx="18">
                  <c:v>297.10000000000002</c:v>
                </c:pt>
                <c:pt idx="19">
                  <c:v>283.89999999999998</c:v>
                </c:pt>
                <c:pt idx="20">
                  <c:v>271.7</c:v>
                </c:pt>
                <c:pt idx="21">
                  <c:v>260.60000000000002</c:v>
                </c:pt>
                <c:pt idx="22">
                  <c:v>250.2</c:v>
                </c:pt>
                <c:pt idx="23">
                  <c:v>240.7</c:v>
                </c:pt>
                <c:pt idx="24">
                  <c:v>231.9</c:v>
                </c:pt>
                <c:pt idx="25">
                  <c:v>223.7</c:v>
                </c:pt>
                <c:pt idx="26">
                  <c:v>216.1</c:v>
                </c:pt>
                <c:pt idx="27" formatCode="0.0">
                  <c:v>223.45958177030261</c:v>
                </c:pt>
                <c:pt idx="28" formatCode="0.0">
                  <c:v>217.54438647012717</c:v>
                </c:pt>
                <c:pt idx="29" formatCode="0.0">
                  <c:v>211.96069443188162</c:v>
                </c:pt>
                <c:pt idx="30" formatCode="0.0">
                  <c:v>206.68070200613408</c:v>
                </c:pt>
                <c:pt idx="31" formatCode="0.0">
                  <c:v>201.67966691776698</c:v>
                </c:pt>
                <c:pt idx="32" formatCode="0.0">
                  <c:v>196.93549534118793</c:v>
                </c:pt>
                <c:pt idx="33" formatCode="0.0">
                  <c:v>192.42839434802892</c:v>
                </c:pt>
                <c:pt idx="34" formatCode="0.0">
                  <c:v>188.14057792670766</c:v>
                </c:pt>
                <c:pt idx="35" formatCode="0.0">
                  <c:v>184.05601715188371</c:v>
                </c:pt>
                <c:pt idx="36" formatCode="0.0">
                  <c:v>180.16022693346414</c:v>
                </c:pt>
                <c:pt idx="37" formatCode="0.0">
                  <c:v>176.44008322619106</c:v>
                </c:pt>
                <c:pt idx="38" formatCode="0.0">
                  <c:v>172.88366572596777</c:v>
                </c:pt>
                <c:pt idx="39" formatCode="0.0">
                  <c:v>169.48012198822155</c:v>
                </c:pt>
                <c:pt idx="40" formatCode="0.0">
                  <c:v>166.21954962964784</c:v>
                </c:pt>
                <c:pt idx="41" formatCode="0.0">
                  <c:v>163.09289385775367</c:v>
                </c:pt>
                <c:pt idx="42" formatCode="0.0">
                  <c:v>160.09185804338983</c:v>
                </c:pt>
                <c:pt idx="43" formatCode="0.0">
                  <c:v>157.20882543348424</c:v>
                </c:pt>
                <c:pt idx="44" formatCode="0.0">
                  <c:v>154.43679041268592</c:v>
                </c:pt>
                <c:pt idx="45" formatCode="0.0">
                  <c:v>151.7692979778293</c:v>
                </c:pt>
                <c:pt idx="46" formatCode="0.0">
                  <c:v>149.20039029908199</c:v>
                </c:pt>
                <c:pt idx="47" formatCode="0.0">
                  <c:v>146.72455941514829</c:v>
                </c:pt>
                <c:pt idx="48" formatCode="0.0">
                  <c:v>144.33670525383573</c:v>
                </c:pt>
                <c:pt idx="49" formatCode="0.0">
                  <c:v>142.03209828917565</c:v>
                </c:pt>
                <c:pt idx="50" formatCode="0.0">
                  <c:v>139.80634624650239</c:v>
                </c:pt>
                <c:pt idx="51" formatCode="0.0">
                  <c:v>137.65536435097908</c:v>
                </c:pt>
                <c:pt idx="52" formatCode="0.0">
                  <c:v>135.57534868582977</c:v>
                </c:pt>
                <c:pt idx="53" formatCode="0.0">
                  <c:v>133.56275228631768</c:v>
                </c:pt>
                <c:pt idx="54" formatCode="0.0">
                  <c:v>131.6142636461669</c:v>
                </c:pt>
                <c:pt idx="55" formatCode="0.0">
                  <c:v>129.72678735616009</c:v>
                </c:pt>
                <c:pt idx="56" formatCode="0.0">
                  <c:v>127.89742663135091</c:v>
                </c:pt>
                <c:pt idx="57" formatCode="0.0">
                  <c:v>126.12346751468239</c:v>
                </c:pt>
                <c:pt idx="58" formatCode="0.0">
                  <c:v>124.40236457169792</c:v>
                </c:pt>
                <c:pt idx="59" formatCode="0.0">
                  <c:v>122.73172791413067</c:v>
                </c:pt>
                <c:pt idx="60" formatCode="0.0">
                  <c:v>121.10931141006785</c:v>
                </c:pt>
                <c:pt idx="61" formatCode="0.0">
                  <c:v>119.53300195558202</c:v>
                </c:pt>
                <c:pt idx="62" formatCode="0.0">
                  <c:v>118.00080969761089</c:v>
                </c:pt>
                <c:pt idx="63" formatCode="0.0">
                  <c:v>116.51085911078681</c:v>
                </c:pt>
                <c:pt idx="64" formatCode="0.0">
                  <c:v>115.06138084215536</c:v>
                </c:pt>
                <c:pt idx="65" formatCode="0.0">
                  <c:v>113.65070424751933</c:v>
                </c:pt>
                <c:pt idx="66" formatCode="0.0">
                  <c:v>112.2772505517014</c:v>
                </c:pt>
                <c:pt idx="67" formatCode="0.0">
                  <c:v>110.93952657250482</c:v>
                </c:pt>
                <c:pt idx="68" formatCode="0.0">
                  <c:v>109.63611895472661</c:v>
                </c:pt>
                <c:pt idx="69" formatCode="0.0">
                  <c:v>108.36568886634207</c:v>
                </c:pt>
                <c:pt idx="70" formatCode="0.0">
                  <c:v>107.12696711406498</c:v>
                </c:pt>
                <c:pt idx="71" formatCode="0.0">
                  <c:v>105.91874963997003</c:v>
                </c:pt>
                <c:pt idx="72" formatCode="0.0">
                  <c:v>104.73989336481755</c:v>
                </c:pt>
                <c:pt idx="73" formatCode="0.0">
                  <c:v>103.58931234723266</c:v>
                </c:pt>
                <c:pt idx="74" formatCode="0.0">
                  <c:v>102.46597423098859</c:v>
                </c:pt>
                <c:pt idx="75" formatCode="0.0">
                  <c:v>101.36889695540886</c:v>
                </c:pt>
                <c:pt idx="76" formatCode="0.0">
                  <c:v>100.29714570635252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52-4458-A07C-632352DE17D0}"/>
            </c:ext>
          </c:extLst>
        </c:ser>
        <c:ser>
          <c:idx val="2"/>
          <c:order val="2"/>
          <c:tx>
            <c:v>2 mol/kg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'Fluid viscosity'!$A$6:$A$82</c:f>
              <c:numCache>
                <c:formatCode>General</c:formatCode>
                <c:ptCount val="77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100</c:v>
                </c:pt>
                <c:pt idx="17">
                  <c:v>105</c:v>
                </c:pt>
                <c:pt idx="18">
                  <c:v>110</c:v>
                </c:pt>
                <c:pt idx="19">
                  <c:v>115</c:v>
                </c:pt>
                <c:pt idx="20">
                  <c:v>120</c:v>
                </c:pt>
                <c:pt idx="21">
                  <c:v>125</c:v>
                </c:pt>
                <c:pt idx="22">
                  <c:v>130</c:v>
                </c:pt>
                <c:pt idx="23">
                  <c:v>135</c:v>
                </c:pt>
                <c:pt idx="24">
                  <c:v>140</c:v>
                </c:pt>
                <c:pt idx="25">
                  <c:v>145</c:v>
                </c:pt>
                <c:pt idx="26">
                  <c:v>150</c:v>
                </c:pt>
                <c:pt idx="27">
                  <c:v>155</c:v>
                </c:pt>
                <c:pt idx="28">
                  <c:v>160</c:v>
                </c:pt>
                <c:pt idx="29">
                  <c:v>165</c:v>
                </c:pt>
                <c:pt idx="30">
                  <c:v>170</c:v>
                </c:pt>
                <c:pt idx="31">
                  <c:v>175</c:v>
                </c:pt>
                <c:pt idx="32">
                  <c:v>180</c:v>
                </c:pt>
                <c:pt idx="33">
                  <c:v>185</c:v>
                </c:pt>
                <c:pt idx="34">
                  <c:v>190</c:v>
                </c:pt>
                <c:pt idx="35">
                  <c:v>195</c:v>
                </c:pt>
                <c:pt idx="36">
                  <c:v>200</c:v>
                </c:pt>
                <c:pt idx="37">
                  <c:v>205</c:v>
                </c:pt>
                <c:pt idx="38">
                  <c:v>210</c:v>
                </c:pt>
                <c:pt idx="39">
                  <c:v>215</c:v>
                </c:pt>
                <c:pt idx="40">
                  <c:v>220</c:v>
                </c:pt>
                <c:pt idx="41">
                  <c:v>225</c:v>
                </c:pt>
                <c:pt idx="42">
                  <c:v>230</c:v>
                </c:pt>
                <c:pt idx="43">
                  <c:v>235</c:v>
                </c:pt>
                <c:pt idx="44">
                  <c:v>240</c:v>
                </c:pt>
                <c:pt idx="45">
                  <c:v>245</c:v>
                </c:pt>
                <c:pt idx="46">
                  <c:v>250</c:v>
                </c:pt>
                <c:pt idx="47">
                  <c:v>255</c:v>
                </c:pt>
                <c:pt idx="48">
                  <c:v>260</c:v>
                </c:pt>
                <c:pt idx="49">
                  <c:v>265</c:v>
                </c:pt>
                <c:pt idx="50">
                  <c:v>270</c:v>
                </c:pt>
                <c:pt idx="51">
                  <c:v>275</c:v>
                </c:pt>
                <c:pt idx="52">
                  <c:v>280</c:v>
                </c:pt>
                <c:pt idx="53">
                  <c:v>285</c:v>
                </c:pt>
                <c:pt idx="54">
                  <c:v>290</c:v>
                </c:pt>
                <c:pt idx="55">
                  <c:v>295</c:v>
                </c:pt>
                <c:pt idx="56">
                  <c:v>300</c:v>
                </c:pt>
                <c:pt idx="57">
                  <c:v>305</c:v>
                </c:pt>
                <c:pt idx="58">
                  <c:v>310</c:v>
                </c:pt>
                <c:pt idx="59">
                  <c:v>315</c:v>
                </c:pt>
                <c:pt idx="60">
                  <c:v>320</c:v>
                </c:pt>
                <c:pt idx="61">
                  <c:v>325</c:v>
                </c:pt>
                <c:pt idx="62">
                  <c:v>330</c:v>
                </c:pt>
                <c:pt idx="63">
                  <c:v>335</c:v>
                </c:pt>
                <c:pt idx="64">
                  <c:v>340</c:v>
                </c:pt>
                <c:pt idx="65">
                  <c:v>345</c:v>
                </c:pt>
                <c:pt idx="66">
                  <c:v>350</c:v>
                </c:pt>
                <c:pt idx="67">
                  <c:v>355</c:v>
                </c:pt>
                <c:pt idx="68">
                  <c:v>360</c:v>
                </c:pt>
                <c:pt idx="69">
                  <c:v>365</c:v>
                </c:pt>
                <c:pt idx="70">
                  <c:v>370</c:v>
                </c:pt>
                <c:pt idx="71">
                  <c:v>375</c:v>
                </c:pt>
                <c:pt idx="72">
                  <c:v>380</c:v>
                </c:pt>
                <c:pt idx="73">
                  <c:v>385</c:v>
                </c:pt>
                <c:pt idx="74">
                  <c:v>390</c:v>
                </c:pt>
                <c:pt idx="75">
                  <c:v>395</c:v>
                </c:pt>
                <c:pt idx="76">
                  <c:v>400</c:v>
                </c:pt>
              </c:numCache>
            </c:numRef>
          </c:xVal>
          <c:yVal>
            <c:numRef>
              <c:f>'Fluid viscosity'!$D$6:$D$82</c:f>
              <c:numCache>
                <c:formatCode>General</c:formatCode>
                <c:ptCount val="77"/>
                <c:pt idx="0">
                  <c:v>1211.3</c:v>
                </c:pt>
                <c:pt idx="1">
                  <c:v>1083.9000000000001</c:v>
                </c:pt>
                <c:pt idx="2">
                  <c:v>977.3</c:v>
                </c:pt>
                <c:pt idx="3">
                  <c:v>887</c:v>
                </c:pt>
                <c:pt idx="4">
                  <c:v>809.9</c:v>
                </c:pt>
                <c:pt idx="5">
                  <c:v>743.5</c:v>
                </c:pt>
                <c:pt idx="6">
                  <c:v>685.7</c:v>
                </c:pt>
                <c:pt idx="7">
                  <c:v>635.20000000000005</c:v>
                </c:pt>
                <c:pt idx="8">
                  <c:v>590.6</c:v>
                </c:pt>
                <c:pt idx="9">
                  <c:v>551.1</c:v>
                </c:pt>
                <c:pt idx="10">
                  <c:v>516</c:v>
                </c:pt>
                <c:pt idx="11">
                  <c:v>484.5</c:v>
                </c:pt>
                <c:pt idx="12">
                  <c:v>456.2</c:v>
                </c:pt>
                <c:pt idx="13">
                  <c:v>430.7</c:v>
                </c:pt>
                <c:pt idx="14">
                  <c:v>407.6</c:v>
                </c:pt>
                <c:pt idx="15">
                  <c:v>386.5</c:v>
                </c:pt>
                <c:pt idx="16">
                  <c:v>367.4</c:v>
                </c:pt>
                <c:pt idx="17">
                  <c:v>349.9</c:v>
                </c:pt>
                <c:pt idx="18">
                  <c:v>333.8</c:v>
                </c:pt>
                <c:pt idx="19">
                  <c:v>319.10000000000002</c:v>
                </c:pt>
                <c:pt idx="20">
                  <c:v>305.60000000000002</c:v>
                </c:pt>
                <c:pt idx="21">
                  <c:v>293.10000000000002</c:v>
                </c:pt>
                <c:pt idx="22">
                  <c:v>281.60000000000002</c:v>
                </c:pt>
                <c:pt idx="23">
                  <c:v>270.89999999999998</c:v>
                </c:pt>
                <c:pt idx="24">
                  <c:v>261.10000000000002</c:v>
                </c:pt>
                <c:pt idx="25">
                  <c:v>252</c:v>
                </c:pt>
                <c:pt idx="26">
                  <c:v>243.5</c:v>
                </c:pt>
                <c:pt idx="27" formatCode="0.0">
                  <c:v>260.67032547662711</c:v>
                </c:pt>
                <c:pt idx="28" formatCode="0.0">
                  <c:v>253.82652949292066</c:v>
                </c:pt>
                <c:pt idx="29" formatCode="0.0">
                  <c:v>247.36486403211498</c:v>
                </c:pt>
                <c:pt idx="30" formatCode="0.0">
                  <c:v>241.25335476021823</c:v>
                </c:pt>
                <c:pt idx="31" formatCode="0.0">
                  <c:v>235.46354188999078</c:v>
                </c:pt>
                <c:pt idx="32" formatCode="0.0">
                  <c:v>229.97000676873969</c:v>
                </c:pt>
                <c:pt idx="33" formatCode="0.0">
                  <c:v>224.74997333229103</c:v>
                </c:pt>
                <c:pt idx="34" formatCode="0.0">
                  <c:v>219.78297092328557</c:v>
                </c:pt>
                <c:pt idx="35" formatCode="0.0">
                  <c:v>215.05054769137158</c:v>
                </c:pt>
                <c:pt idx="36" formatCode="0.0">
                  <c:v>210.53602591013961</c:v>
                </c:pt>
                <c:pt idx="37" formatCode="0.0">
                  <c:v>206.22429220558331</c:v>
                </c:pt>
                <c:pt idx="38" formatCode="0.0">
                  <c:v>202.10161700079894</c:v>
                </c:pt>
                <c:pt idx="39" formatCode="0.0">
                  <c:v>198.15549852180314</c:v>
                </c:pt>
                <c:pt idx="40" formatCode="0.0">
                  <c:v>194.37452754017968</c:v>
                </c:pt>
                <c:pt idx="41" formatCode="0.0">
                  <c:v>190.74826969561801</c:v>
                </c:pt>
                <c:pt idx="42" formatCode="0.0">
                  <c:v>187.2671627803002</c:v>
                </c:pt>
                <c:pt idx="43" formatCode="0.0">
                  <c:v>183.92242680447941</c:v>
                </c:pt>
                <c:pt idx="44" formatCode="0.0">
                  <c:v>180.70598501928868</c:v>
                </c:pt>
                <c:pt idx="45" formatCode="0.0">
                  <c:v>177.61039436508713</c:v>
                </c:pt>
                <c:pt idx="46" formatCode="0.0">
                  <c:v>174.62878405415557</c:v>
                </c:pt>
                <c:pt idx="47" formatCode="0.0">
                  <c:v>171.75480119531429</c:v>
                </c:pt>
                <c:pt idx="48" formatCode="0.0">
                  <c:v>168.98256253297313</c:v>
                </c:pt>
                <c:pt idx="49" formatCode="0.0">
                  <c:v>166.30661151049043</c:v>
                </c:pt>
                <c:pt idx="50" formatCode="0.0">
                  <c:v>163.7218799825911</c:v>
                </c:pt>
                <c:pt idx="51" formatCode="0.0">
                  <c:v>161.223653997963</c:v>
                </c:pt>
                <c:pt idx="52" formatCode="0.0">
                  <c:v>158.80754315429604</c:v>
                </c:pt>
                <c:pt idx="53" formatCode="0.0">
                  <c:v>156.46945309657102</c:v>
                </c:pt>
                <c:pt idx="54" formatCode="0.0">
                  <c:v>154.20556078749115</c:v>
                </c:pt>
                <c:pt idx="55" formatCode="0.0">
                  <c:v>152.01229222831404</c:v>
                </c:pt>
                <c:pt idx="56" formatCode="0.0">
                  <c:v>149.88630235043794</c:v>
                </c:pt>
                <c:pt idx="57" formatCode="0.0">
                  <c:v>147.82445683406903</c:v>
                </c:pt>
                <c:pt idx="58" formatCode="0.0">
                  <c:v>145.82381564115246</c:v>
                </c:pt>
                <c:pt idx="59" formatCode="0.0">
                  <c:v>143.88161807624985</c:v>
                </c:pt>
                <c:pt idx="60" formatCode="0.0">
                  <c:v>141.99526921190747</c:v>
                </c:pt>
                <c:pt idx="61" formatCode="0.0">
                  <c:v>140.16232753478215</c:v>
                </c:pt>
                <c:pt idx="62" formatCode="0.0">
                  <c:v>138.38049368589213</c:v>
                </c:pt>
                <c:pt idx="63" formatCode="0.0">
                  <c:v>136.647600183186</c:v>
                </c:pt>
                <c:pt idx="64" formatCode="0.0">
                  <c:v>134.96160202753134</c:v>
                </c:pt>
                <c:pt idx="65" formatCode="0.0">
                  <c:v>133.32056810446772</c:v>
                </c:pt>
                <c:pt idx="66" formatCode="0.0">
                  <c:v>131.72267330389906</c:v>
                </c:pt>
                <c:pt idx="67" formatCode="0.0">
                  <c:v>130.16619128849891</c:v>
                </c:pt>
                <c:pt idx="68" formatCode="0.0">
                  <c:v>128.64948784914986</c:v>
                </c:pt>
                <c:pt idx="69" formatCode="0.0">
                  <c:v>127.17101479236447</c:v>
                </c:pt>
                <c:pt idx="70" formatCode="0.0">
                  <c:v>125.72930431047689</c:v>
                </c:pt>
                <c:pt idx="71" formatCode="0.0">
                  <c:v>124.32296379053996</c:v>
                </c:pt>
                <c:pt idx="72" formatCode="0.0">
                  <c:v>122.95067102241235</c:v>
                </c:pt>
                <c:pt idx="73" formatCode="0.0">
                  <c:v>121.61116977054962</c:v>
                </c:pt>
                <c:pt idx="74" formatCode="0.0">
                  <c:v>120.30326567757798</c:v>
                </c:pt>
                <c:pt idx="75" formatCode="0.0">
                  <c:v>119.02582247090562</c:v>
                </c:pt>
                <c:pt idx="76" formatCode="0.0">
                  <c:v>117.77775844644006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252-4458-A07C-632352DE17D0}"/>
            </c:ext>
          </c:extLst>
        </c:ser>
        <c:ser>
          <c:idx val="3"/>
          <c:order val="3"/>
          <c:tx>
            <c:v>3 mol/kg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'Fluid viscosity'!$A$6:$A$82</c:f>
              <c:numCache>
                <c:formatCode>General</c:formatCode>
                <c:ptCount val="77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100</c:v>
                </c:pt>
                <c:pt idx="17">
                  <c:v>105</c:v>
                </c:pt>
                <c:pt idx="18">
                  <c:v>110</c:v>
                </c:pt>
                <c:pt idx="19">
                  <c:v>115</c:v>
                </c:pt>
                <c:pt idx="20">
                  <c:v>120</c:v>
                </c:pt>
                <c:pt idx="21">
                  <c:v>125</c:v>
                </c:pt>
                <c:pt idx="22">
                  <c:v>130</c:v>
                </c:pt>
                <c:pt idx="23">
                  <c:v>135</c:v>
                </c:pt>
                <c:pt idx="24">
                  <c:v>140</c:v>
                </c:pt>
                <c:pt idx="25">
                  <c:v>145</c:v>
                </c:pt>
                <c:pt idx="26">
                  <c:v>150</c:v>
                </c:pt>
                <c:pt idx="27">
                  <c:v>155</c:v>
                </c:pt>
                <c:pt idx="28">
                  <c:v>160</c:v>
                </c:pt>
                <c:pt idx="29">
                  <c:v>165</c:v>
                </c:pt>
                <c:pt idx="30">
                  <c:v>170</c:v>
                </c:pt>
                <c:pt idx="31">
                  <c:v>175</c:v>
                </c:pt>
                <c:pt idx="32">
                  <c:v>180</c:v>
                </c:pt>
                <c:pt idx="33">
                  <c:v>185</c:v>
                </c:pt>
                <c:pt idx="34">
                  <c:v>190</c:v>
                </c:pt>
                <c:pt idx="35">
                  <c:v>195</c:v>
                </c:pt>
                <c:pt idx="36">
                  <c:v>200</c:v>
                </c:pt>
                <c:pt idx="37">
                  <c:v>205</c:v>
                </c:pt>
                <c:pt idx="38">
                  <c:v>210</c:v>
                </c:pt>
                <c:pt idx="39">
                  <c:v>215</c:v>
                </c:pt>
                <c:pt idx="40">
                  <c:v>220</c:v>
                </c:pt>
                <c:pt idx="41">
                  <c:v>225</c:v>
                </c:pt>
                <c:pt idx="42">
                  <c:v>230</c:v>
                </c:pt>
                <c:pt idx="43">
                  <c:v>235</c:v>
                </c:pt>
                <c:pt idx="44">
                  <c:v>240</c:v>
                </c:pt>
                <c:pt idx="45">
                  <c:v>245</c:v>
                </c:pt>
                <c:pt idx="46">
                  <c:v>250</c:v>
                </c:pt>
                <c:pt idx="47">
                  <c:v>255</c:v>
                </c:pt>
                <c:pt idx="48">
                  <c:v>260</c:v>
                </c:pt>
                <c:pt idx="49">
                  <c:v>265</c:v>
                </c:pt>
                <c:pt idx="50">
                  <c:v>270</c:v>
                </c:pt>
                <c:pt idx="51">
                  <c:v>275</c:v>
                </c:pt>
                <c:pt idx="52">
                  <c:v>280</c:v>
                </c:pt>
                <c:pt idx="53">
                  <c:v>285</c:v>
                </c:pt>
                <c:pt idx="54">
                  <c:v>290</c:v>
                </c:pt>
                <c:pt idx="55">
                  <c:v>295</c:v>
                </c:pt>
                <c:pt idx="56">
                  <c:v>300</c:v>
                </c:pt>
                <c:pt idx="57">
                  <c:v>305</c:v>
                </c:pt>
                <c:pt idx="58">
                  <c:v>310</c:v>
                </c:pt>
                <c:pt idx="59">
                  <c:v>315</c:v>
                </c:pt>
                <c:pt idx="60">
                  <c:v>320</c:v>
                </c:pt>
                <c:pt idx="61">
                  <c:v>325</c:v>
                </c:pt>
                <c:pt idx="62">
                  <c:v>330</c:v>
                </c:pt>
                <c:pt idx="63">
                  <c:v>335</c:v>
                </c:pt>
                <c:pt idx="64">
                  <c:v>340</c:v>
                </c:pt>
                <c:pt idx="65">
                  <c:v>345</c:v>
                </c:pt>
                <c:pt idx="66">
                  <c:v>350</c:v>
                </c:pt>
                <c:pt idx="67">
                  <c:v>355</c:v>
                </c:pt>
                <c:pt idx="68">
                  <c:v>360</c:v>
                </c:pt>
                <c:pt idx="69">
                  <c:v>365</c:v>
                </c:pt>
                <c:pt idx="70">
                  <c:v>370</c:v>
                </c:pt>
                <c:pt idx="71">
                  <c:v>375</c:v>
                </c:pt>
                <c:pt idx="72">
                  <c:v>380</c:v>
                </c:pt>
                <c:pt idx="73">
                  <c:v>385</c:v>
                </c:pt>
                <c:pt idx="74">
                  <c:v>390</c:v>
                </c:pt>
                <c:pt idx="75">
                  <c:v>395</c:v>
                </c:pt>
                <c:pt idx="76">
                  <c:v>400</c:v>
                </c:pt>
              </c:numCache>
            </c:numRef>
          </c:xVal>
          <c:yVal>
            <c:numRef>
              <c:f>'Fluid viscosity'!$E$6:$E$82</c:f>
              <c:numCache>
                <c:formatCode>General</c:formatCode>
                <c:ptCount val="77"/>
                <c:pt idx="0">
                  <c:v>1359.5</c:v>
                </c:pt>
                <c:pt idx="1">
                  <c:v>1215.8</c:v>
                </c:pt>
                <c:pt idx="2">
                  <c:v>1095.7</c:v>
                </c:pt>
                <c:pt idx="3">
                  <c:v>994.1</c:v>
                </c:pt>
                <c:pt idx="4">
                  <c:v>907.4</c:v>
                </c:pt>
                <c:pt idx="5">
                  <c:v>832.7</c:v>
                </c:pt>
                <c:pt idx="6">
                  <c:v>767.9</c:v>
                </c:pt>
                <c:pt idx="7">
                  <c:v>711.1</c:v>
                </c:pt>
                <c:pt idx="8">
                  <c:v>661.2</c:v>
                </c:pt>
                <c:pt idx="9">
                  <c:v>616.9</c:v>
                </c:pt>
                <c:pt idx="10">
                  <c:v>577.5</c:v>
                </c:pt>
                <c:pt idx="11">
                  <c:v>542.20000000000005</c:v>
                </c:pt>
                <c:pt idx="12">
                  <c:v>510.5</c:v>
                </c:pt>
                <c:pt idx="13">
                  <c:v>481.9</c:v>
                </c:pt>
                <c:pt idx="14">
                  <c:v>456</c:v>
                </c:pt>
                <c:pt idx="15">
                  <c:v>432.4</c:v>
                </c:pt>
                <c:pt idx="16">
                  <c:v>411</c:v>
                </c:pt>
                <c:pt idx="17">
                  <c:v>391.4</c:v>
                </c:pt>
                <c:pt idx="18">
                  <c:v>373.4</c:v>
                </c:pt>
                <c:pt idx="19">
                  <c:v>356.9</c:v>
                </c:pt>
                <c:pt idx="20">
                  <c:v>341.7</c:v>
                </c:pt>
                <c:pt idx="21">
                  <c:v>327.7</c:v>
                </c:pt>
                <c:pt idx="22">
                  <c:v>314.8</c:v>
                </c:pt>
                <c:pt idx="23">
                  <c:v>302.89999999999998</c:v>
                </c:pt>
                <c:pt idx="24">
                  <c:v>291.8</c:v>
                </c:pt>
                <c:pt idx="25">
                  <c:v>281.60000000000002</c:v>
                </c:pt>
                <c:pt idx="26">
                  <c:v>272.10000000000002</c:v>
                </c:pt>
                <c:pt idx="27" formatCode="0.0">
                  <c:v>280.91298965586907</c:v>
                </c:pt>
                <c:pt idx="28" formatCode="0.0">
                  <c:v>273.52036217235326</c:v>
                </c:pt>
                <c:pt idx="29" formatCode="0.0">
                  <c:v>266.54094622268951</c:v>
                </c:pt>
                <c:pt idx="30" formatCode="0.0">
                  <c:v>259.94014347845877</c:v>
                </c:pt>
                <c:pt idx="31" formatCode="0.0">
                  <c:v>253.68716045174742</c:v>
                </c:pt>
                <c:pt idx="32" formatCode="0.0">
                  <c:v>247.75449578295874</c:v>
                </c:pt>
                <c:pt idx="33" formatCode="0.0">
                  <c:v>242.11750863526427</c:v>
                </c:pt>
                <c:pt idx="34" formatCode="0.0">
                  <c:v>236.75405356453285</c:v>
                </c:pt>
                <c:pt idx="35" formatCode="0.0">
                  <c:v>231.64417018110655</c:v>
                </c:pt>
                <c:pt idx="36" formatCode="0.0">
                  <c:v>226.76981821456653</c:v>
                </c:pt>
                <c:pt idx="37" formatCode="0.0">
                  <c:v>222.11465039161357</c:v>
                </c:pt>
                <c:pt idx="38" formatCode="0.0">
                  <c:v>217.66381695677893</c:v>
                </c:pt>
                <c:pt idx="39" formatCode="0.0">
                  <c:v>213.40379679284649</c:v>
                </c:pt>
                <c:pt idx="40" formatCode="0.0">
                  <c:v>209.32225099817288</c:v>
                </c:pt>
                <c:pt idx="41" formatCode="0.0">
                  <c:v>205.40789550117816</c:v>
                </c:pt>
                <c:pt idx="42" formatCode="0.0">
                  <c:v>201.65038987618391</c:v>
                </c:pt>
                <c:pt idx="43" formatCode="0.0">
                  <c:v>198.04023999864205</c:v>
                </c:pt>
                <c:pt idx="44" formatCode="0.0">
                  <c:v>194.56871256425211</c:v>
                </c:pt>
                <c:pt idx="45" formatCode="0.0">
                  <c:v>191.22775981307896</c:v>
                </c:pt>
                <c:pt idx="46" formatCode="0.0">
                  <c:v>188.00995306032615</c:v>
                </c:pt>
                <c:pt idx="47" formatCode="0.0">
                  <c:v>184.90842385073026</c:v>
                </c:pt>
                <c:pt idx="48" formatCode="0.0">
                  <c:v>181.91681173219118</c:v>
                </c:pt>
                <c:pt idx="49" formatCode="0.0">
                  <c:v>179.02921779305373</c:v>
                </c:pt>
                <c:pt idx="50" formatCode="0.0">
                  <c:v>176.24016323187007</c:v>
                </c:pt>
                <c:pt idx="51" formatCode="0.0">
                  <c:v>173.54455233284813</c:v>
                </c:pt>
                <c:pt idx="52" formatCode="0.0">
                  <c:v>170.93763930807546</c:v>
                </c:pt>
                <c:pt idx="53" formatCode="0.0">
                  <c:v>168.41499854183533</c:v>
                </c:pt>
                <c:pt idx="54" formatCode="0.0">
                  <c:v>165.97249783523861</c:v>
                </c:pt>
                <c:pt idx="55" formatCode="0.0">
                  <c:v>163.60627430285066</c:v>
                </c:pt>
                <c:pt idx="56" formatCode="0.0">
                  <c:v>161.31271261857617</c:v>
                </c:pt>
                <c:pt idx="57" formatCode="0.0">
                  <c:v>159.08842534702217</c:v>
                </c:pt>
                <c:pt idx="58" formatCode="0.0">
                  <c:v>156.9302351299585</c:v>
                </c:pt>
                <c:pt idx="59" formatCode="0.0">
                  <c:v>154.83515852620565</c:v>
                </c:pt>
                <c:pt idx="60" formatCode="0.0">
                  <c:v>152.80039132801281</c:v>
                </c:pt>
                <c:pt idx="61" formatCode="0.0">
                  <c:v>150.82329519835756</c:v>
                </c:pt>
                <c:pt idx="62" formatCode="0.0">
                  <c:v>148.90138549210511</c:v>
                </c:pt>
                <c:pt idx="63" formatCode="0.0">
                  <c:v>147.03232014001566</c:v>
                </c:pt>
                <c:pt idx="64" formatCode="0.0">
                  <c:v>145.21388948856469</c:v>
                </c:pt>
                <c:pt idx="65" formatCode="0.0">
                  <c:v>143.44400700071304</c:v>
                </c:pt>
                <c:pt idx="66" formatCode="0.0">
                  <c:v>141.72070073340058</c:v>
                </c:pt>
                <c:pt idx="67" formatCode="0.0">
                  <c:v>140.04210551684992</c:v>
                </c:pt>
                <c:pt idx="68" formatCode="0.0">
                  <c:v>138.40645576893391</c:v>
                </c:pt>
                <c:pt idx="69" formatCode="0.0">
                  <c:v>136.8120788850336</c:v>
                </c:pt>
                <c:pt idx="70" formatCode="0.0">
                  <c:v>135.25738915013517</c:v>
                </c:pt>
                <c:pt idx="71" formatCode="0.0">
                  <c:v>133.74088212548682</c:v>
                </c:pt>
                <c:pt idx="72" formatCode="0.0">
                  <c:v>132.26112946705697</c:v>
                </c:pt>
                <c:pt idx="73" formatCode="0.0">
                  <c:v>130.81677413739831</c:v>
                </c:pt>
                <c:pt idx="74" formatCode="0.0">
                  <c:v>129.40652597638149</c:v>
                </c:pt>
                <c:pt idx="75" formatCode="0.0">
                  <c:v>128.029157599694</c:v>
                </c:pt>
                <c:pt idx="76" formatCode="0.0">
                  <c:v>126.68350059705527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252-4458-A07C-632352DE17D0}"/>
            </c:ext>
          </c:extLst>
        </c:ser>
        <c:ser>
          <c:idx val="4"/>
          <c:order val="4"/>
          <c:tx>
            <c:v>4 mol/kg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'Fluid viscosity'!$A$6:$A$82</c:f>
              <c:numCache>
                <c:formatCode>General</c:formatCode>
                <c:ptCount val="77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100</c:v>
                </c:pt>
                <c:pt idx="17">
                  <c:v>105</c:v>
                </c:pt>
                <c:pt idx="18">
                  <c:v>110</c:v>
                </c:pt>
                <c:pt idx="19">
                  <c:v>115</c:v>
                </c:pt>
                <c:pt idx="20">
                  <c:v>120</c:v>
                </c:pt>
                <c:pt idx="21">
                  <c:v>125</c:v>
                </c:pt>
                <c:pt idx="22">
                  <c:v>130</c:v>
                </c:pt>
                <c:pt idx="23">
                  <c:v>135</c:v>
                </c:pt>
                <c:pt idx="24">
                  <c:v>140</c:v>
                </c:pt>
                <c:pt idx="25">
                  <c:v>145</c:v>
                </c:pt>
                <c:pt idx="26">
                  <c:v>150</c:v>
                </c:pt>
                <c:pt idx="27">
                  <c:v>155</c:v>
                </c:pt>
                <c:pt idx="28">
                  <c:v>160</c:v>
                </c:pt>
                <c:pt idx="29">
                  <c:v>165</c:v>
                </c:pt>
                <c:pt idx="30">
                  <c:v>170</c:v>
                </c:pt>
                <c:pt idx="31">
                  <c:v>175</c:v>
                </c:pt>
                <c:pt idx="32">
                  <c:v>180</c:v>
                </c:pt>
                <c:pt idx="33">
                  <c:v>185</c:v>
                </c:pt>
                <c:pt idx="34">
                  <c:v>190</c:v>
                </c:pt>
                <c:pt idx="35">
                  <c:v>195</c:v>
                </c:pt>
                <c:pt idx="36">
                  <c:v>200</c:v>
                </c:pt>
                <c:pt idx="37">
                  <c:v>205</c:v>
                </c:pt>
                <c:pt idx="38">
                  <c:v>210</c:v>
                </c:pt>
                <c:pt idx="39">
                  <c:v>215</c:v>
                </c:pt>
                <c:pt idx="40">
                  <c:v>220</c:v>
                </c:pt>
                <c:pt idx="41">
                  <c:v>225</c:v>
                </c:pt>
                <c:pt idx="42">
                  <c:v>230</c:v>
                </c:pt>
                <c:pt idx="43">
                  <c:v>235</c:v>
                </c:pt>
                <c:pt idx="44">
                  <c:v>240</c:v>
                </c:pt>
                <c:pt idx="45">
                  <c:v>245</c:v>
                </c:pt>
                <c:pt idx="46">
                  <c:v>250</c:v>
                </c:pt>
                <c:pt idx="47">
                  <c:v>255</c:v>
                </c:pt>
                <c:pt idx="48">
                  <c:v>260</c:v>
                </c:pt>
                <c:pt idx="49">
                  <c:v>265</c:v>
                </c:pt>
                <c:pt idx="50">
                  <c:v>270</c:v>
                </c:pt>
                <c:pt idx="51">
                  <c:v>275</c:v>
                </c:pt>
                <c:pt idx="52">
                  <c:v>280</c:v>
                </c:pt>
                <c:pt idx="53">
                  <c:v>285</c:v>
                </c:pt>
                <c:pt idx="54">
                  <c:v>290</c:v>
                </c:pt>
                <c:pt idx="55">
                  <c:v>295</c:v>
                </c:pt>
                <c:pt idx="56">
                  <c:v>300</c:v>
                </c:pt>
                <c:pt idx="57">
                  <c:v>305</c:v>
                </c:pt>
                <c:pt idx="58">
                  <c:v>310</c:v>
                </c:pt>
                <c:pt idx="59">
                  <c:v>315</c:v>
                </c:pt>
                <c:pt idx="60">
                  <c:v>320</c:v>
                </c:pt>
                <c:pt idx="61">
                  <c:v>325</c:v>
                </c:pt>
                <c:pt idx="62">
                  <c:v>330</c:v>
                </c:pt>
                <c:pt idx="63">
                  <c:v>335</c:v>
                </c:pt>
                <c:pt idx="64">
                  <c:v>340</c:v>
                </c:pt>
                <c:pt idx="65">
                  <c:v>345</c:v>
                </c:pt>
                <c:pt idx="66">
                  <c:v>350</c:v>
                </c:pt>
                <c:pt idx="67">
                  <c:v>355</c:v>
                </c:pt>
                <c:pt idx="68">
                  <c:v>360</c:v>
                </c:pt>
                <c:pt idx="69">
                  <c:v>365</c:v>
                </c:pt>
                <c:pt idx="70">
                  <c:v>370</c:v>
                </c:pt>
                <c:pt idx="71">
                  <c:v>375</c:v>
                </c:pt>
                <c:pt idx="72">
                  <c:v>380</c:v>
                </c:pt>
                <c:pt idx="73">
                  <c:v>385</c:v>
                </c:pt>
                <c:pt idx="74">
                  <c:v>390</c:v>
                </c:pt>
                <c:pt idx="75">
                  <c:v>395</c:v>
                </c:pt>
                <c:pt idx="76">
                  <c:v>400</c:v>
                </c:pt>
              </c:numCache>
            </c:numRef>
          </c:xVal>
          <c:yVal>
            <c:numRef>
              <c:f>'Fluid viscosity'!$F$6:$F$82</c:f>
              <c:numCache>
                <c:formatCode>General</c:formatCode>
                <c:ptCount val="77"/>
                <c:pt idx="0">
                  <c:v>1536.5</c:v>
                </c:pt>
                <c:pt idx="1">
                  <c:v>1372.4</c:v>
                </c:pt>
                <c:pt idx="2">
                  <c:v>1235.5</c:v>
                </c:pt>
                <c:pt idx="3">
                  <c:v>1119.9000000000001</c:v>
                </c:pt>
                <c:pt idx="4">
                  <c:v>1021.3</c:v>
                </c:pt>
                <c:pt idx="5">
                  <c:v>936.5</c:v>
                </c:pt>
                <c:pt idx="6">
                  <c:v>862.9</c:v>
                </c:pt>
                <c:pt idx="7">
                  <c:v>798.6</c:v>
                </c:pt>
                <c:pt idx="8">
                  <c:v>742</c:v>
                </c:pt>
                <c:pt idx="9">
                  <c:v>691.9</c:v>
                </c:pt>
                <c:pt idx="10">
                  <c:v>647.4</c:v>
                </c:pt>
                <c:pt idx="11">
                  <c:v>607.5</c:v>
                </c:pt>
                <c:pt idx="12">
                  <c:v>571.70000000000005</c:v>
                </c:pt>
                <c:pt idx="13">
                  <c:v>539.4</c:v>
                </c:pt>
                <c:pt idx="14">
                  <c:v>510.1</c:v>
                </c:pt>
                <c:pt idx="15">
                  <c:v>483.6</c:v>
                </c:pt>
                <c:pt idx="16">
                  <c:v>459.4</c:v>
                </c:pt>
                <c:pt idx="17">
                  <c:v>437.2</c:v>
                </c:pt>
                <c:pt idx="18">
                  <c:v>417</c:v>
                </c:pt>
                <c:pt idx="19">
                  <c:v>398.4</c:v>
                </c:pt>
                <c:pt idx="20">
                  <c:v>381.3</c:v>
                </c:pt>
                <c:pt idx="21">
                  <c:v>365.5</c:v>
                </c:pt>
                <c:pt idx="22">
                  <c:v>351</c:v>
                </c:pt>
                <c:pt idx="23">
                  <c:v>337.5</c:v>
                </c:pt>
                <c:pt idx="24">
                  <c:v>325.10000000000002</c:v>
                </c:pt>
                <c:pt idx="25">
                  <c:v>313.60000000000002</c:v>
                </c:pt>
                <c:pt idx="26">
                  <c:v>303</c:v>
                </c:pt>
                <c:pt idx="27" formatCode="0.0">
                  <c:v>313.86282850186285</c:v>
                </c:pt>
                <c:pt idx="28" formatCode="0.0">
                  <c:v>305.53516888424389</c:v>
                </c:pt>
                <c:pt idx="29" formatCode="0.0">
                  <c:v>297.67470496115885</c:v>
                </c:pt>
                <c:pt idx="30" formatCode="0.0">
                  <c:v>290.24222599783786</c:v>
                </c:pt>
                <c:pt idx="31" formatCode="0.0">
                  <c:v>283.20284075198316</c:v>
                </c:pt>
                <c:pt idx="32" formatCode="0.0">
                  <c:v>276.52539462746137</c:v>
                </c:pt>
                <c:pt idx="33" formatCode="0.0">
                  <c:v>270.18197913072828</c:v>
                </c:pt>
                <c:pt idx="34" formatCode="0.0">
                  <c:v>264.14751696366221</c:v>
                </c:pt>
                <c:pt idx="35" formatCode="0.0">
                  <c:v>258.39940944670701</c:v>
                </c:pt>
                <c:pt idx="36" formatCode="0.0">
                  <c:v>252.91723558174476</c:v>
                </c:pt>
                <c:pt idx="37" formatCode="0.0">
                  <c:v>247.68249411418802</c:v>
                </c:pt>
                <c:pt idx="38" formatCode="0.0">
                  <c:v>242.6783815711602</c:v>
                </c:pt>
                <c:pt idx="39" formatCode="0.0">
                  <c:v>237.88960053665181</c:v>
                </c:pt>
                <c:pt idx="40" formatCode="0.0">
                  <c:v>233.30219344990888</c:v>
                </c:pt>
                <c:pt idx="41" formatCode="0.0">
                  <c:v>228.90339803672671</c:v>
                </c:pt>
                <c:pt idx="42" formatCode="0.0">
                  <c:v>224.68152114810724</c:v>
                </c:pt>
                <c:pt idx="43" formatCode="0.0">
                  <c:v>220.62582832018151</c:v>
                </c:pt>
                <c:pt idx="44" formatCode="0.0">
                  <c:v>216.72644680913149</c:v>
                </c:pt>
                <c:pt idx="45" formatCode="0.0">
                  <c:v>212.97428021516313</c:v>
                </c:pt>
                <c:pt idx="46" formatCode="0.0">
                  <c:v>209.36093310602351</c:v>
                </c:pt>
                <c:pt idx="47" formatCode="0.0">
                  <c:v>205.87864429549859</c:v>
                </c:pt>
                <c:pt idx="48" formatCode="0.0">
                  <c:v>202.52022763554606</c:v>
                </c:pt>
                <c:pt idx="49" formatCode="0.0">
                  <c:v>199.2790193499396</c:v>
                </c:pt>
                <c:pt idx="50" formatCode="0.0">
                  <c:v>196.14883107878174</c:v>
                </c:pt>
                <c:pt idx="51" formatCode="0.0">
                  <c:v>193.12390792191806</c:v>
                </c:pt>
                <c:pt idx="52" formatCode="0.0">
                  <c:v>190.1988908691896</c:v>
                </c:pt>
                <c:pt idx="53" formatCode="0.0">
                  <c:v>187.36878308983927</c:v>
                </c:pt>
                <c:pt idx="54" formatCode="0.0">
                  <c:v>184.6289196248776</c:v>
                </c:pt>
                <c:pt idx="55" formatCode="0.0">
                  <c:v>181.97494008696452</c:v>
                </c:pt>
                <c:pt idx="56" formatCode="0.0">
                  <c:v>179.40276402415233</c:v>
                </c:pt>
                <c:pt idx="57" formatCode="0.0">
                  <c:v>176.9085686480978</c:v>
                </c:pt>
                <c:pt idx="58" formatCode="0.0">
                  <c:v>174.4887686652938</c:v>
                </c:pt>
                <c:pt idx="59" formatCode="0.0">
                  <c:v>172.13999798247244</c:v>
                </c:pt>
                <c:pt idx="60" formatCode="0.0">
                  <c:v>169.85909308543009</c:v>
                </c:pt>
                <c:pt idx="61" formatCode="0.0">
                  <c:v>167.64307791478382</c:v>
                </c:pt>
                <c:pt idx="62" formatCode="0.0">
                  <c:v>165.48915008318326</c:v>
                </c:pt>
                <c:pt idx="63" formatCode="0.0">
                  <c:v>163.39466829672526</c:v>
                </c:pt>
                <c:pt idx="64" formatCode="0.0">
                  <c:v>161.35714085918278</c:v>
                </c:pt>
                <c:pt idx="65" formatCode="0.0">
                  <c:v>159.37421515147591</c:v>
                </c:pt>
                <c:pt idx="66" formatCode="0.0">
                  <c:v>157.44366799088343</c:v>
                </c:pt>
                <c:pt idx="67" formatCode="0.0">
                  <c:v>155.56339678506603</c:v>
                </c:pt>
                <c:pt idx="68" formatCode="0.0">
                  <c:v>153.7314114052337</c:v>
                </c:pt>
                <c:pt idx="69" formatCode="0.0">
                  <c:v>151.94582671093133</c:v>
                </c:pt>
                <c:pt idx="70" formatCode="0.0">
                  <c:v>150.20485566608932</c:v>
                </c:pt>
                <c:pt idx="71" formatCode="0.0">
                  <c:v>148.50680299230388</c:v>
                </c:pt>
                <c:pt idx="72" formatCode="0.0">
                  <c:v>146.85005931089628</c:v>
                </c:pt>
                <c:pt idx="73" formatCode="0.0">
                  <c:v>145.23309573024443</c:v>
                </c:pt>
                <c:pt idx="74" formatCode="0.0">
                  <c:v>143.6544588392612</c:v>
                </c:pt>
                <c:pt idx="75" formatCode="0.0">
                  <c:v>142.11276607178306</c:v>
                </c:pt>
                <c:pt idx="76" formatCode="0.0">
                  <c:v>140.60670141009308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252-4458-A07C-632352DE17D0}"/>
            </c:ext>
          </c:extLst>
        </c:ser>
        <c:ser>
          <c:idx val="5"/>
          <c:order val="5"/>
          <c:tx>
            <c:v>5 mol/kg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'Fluid viscosity'!$A$6:$A$82</c:f>
              <c:numCache>
                <c:formatCode>General</c:formatCode>
                <c:ptCount val="77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100</c:v>
                </c:pt>
                <c:pt idx="17">
                  <c:v>105</c:v>
                </c:pt>
                <c:pt idx="18">
                  <c:v>110</c:v>
                </c:pt>
                <c:pt idx="19">
                  <c:v>115</c:v>
                </c:pt>
                <c:pt idx="20">
                  <c:v>120</c:v>
                </c:pt>
                <c:pt idx="21">
                  <c:v>125</c:v>
                </c:pt>
                <c:pt idx="22">
                  <c:v>130</c:v>
                </c:pt>
                <c:pt idx="23">
                  <c:v>135</c:v>
                </c:pt>
                <c:pt idx="24">
                  <c:v>140</c:v>
                </c:pt>
                <c:pt idx="25">
                  <c:v>145</c:v>
                </c:pt>
                <c:pt idx="26">
                  <c:v>150</c:v>
                </c:pt>
                <c:pt idx="27">
                  <c:v>155</c:v>
                </c:pt>
                <c:pt idx="28">
                  <c:v>160</c:v>
                </c:pt>
                <c:pt idx="29">
                  <c:v>165</c:v>
                </c:pt>
                <c:pt idx="30">
                  <c:v>170</c:v>
                </c:pt>
                <c:pt idx="31">
                  <c:v>175</c:v>
                </c:pt>
                <c:pt idx="32">
                  <c:v>180</c:v>
                </c:pt>
                <c:pt idx="33">
                  <c:v>185</c:v>
                </c:pt>
                <c:pt idx="34">
                  <c:v>190</c:v>
                </c:pt>
                <c:pt idx="35">
                  <c:v>195</c:v>
                </c:pt>
                <c:pt idx="36">
                  <c:v>200</c:v>
                </c:pt>
                <c:pt idx="37">
                  <c:v>205</c:v>
                </c:pt>
                <c:pt idx="38">
                  <c:v>210</c:v>
                </c:pt>
                <c:pt idx="39">
                  <c:v>215</c:v>
                </c:pt>
                <c:pt idx="40">
                  <c:v>220</c:v>
                </c:pt>
                <c:pt idx="41">
                  <c:v>225</c:v>
                </c:pt>
                <c:pt idx="42">
                  <c:v>230</c:v>
                </c:pt>
                <c:pt idx="43">
                  <c:v>235</c:v>
                </c:pt>
                <c:pt idx="44">
                  <c:v>240</c:v>
                </c:pt>
                <c:pt idx="45">
                  <c:v>245</c:v>
                </c:pt>
                <c:pt idx="46">
                  <c:v>250</c:v>
                </c:pt>
                <c:pt idx="47">
                  <c:v>255</c:v>
                </c:pt>
                <c:pt idx="48">
                  <c:v>260</c:v>
                </c:pt>
                <c:pt idx="49">
                  <c:v>265</c:v>
                </c:pt>
                <c:pt idx="50">
                  <c:v>270</c:v>
                </c:pt>
                <c:pt idx="51">
                  <c:v>275</c:v>
                </c:pt>
                <c:pt idx="52">
                  <c:v>280</c:v>
                </c:pt>
                <c:pt idx="53">
                  <c:v>285</c:v>
                </c:pt>
                <c:pt idx="54">
                  <c:v>290</c:v>
                </c:pt>
                <c:pt idx="55">
                  <c:v>295</c:v>
                </c:pt>
                <c:pt idx="56">
                  <c:v>300</c:v>
                </c:pt>
                <c:pt idx="57">
                  <c:v>305</c:v>
                </c:pt>
                <c:pt idx="58">
                  <c:v>310</c:v>
                </c:pt>
                <c:pt idx="59">
                  <c:v>315</c:v>
                </c:pt>
                <c:pt idx="60">
                  <c:v>320</c:v>
                </c:pt>
                <c:pt idx="61">
                  <c:v>325</c:v>
                </c:pt>
                <c:pt idx="62">
                  <c:v>330</c:v>
                </c:pt>
                <c:pt idx="63">
                  <c:v>335</c:v>
                </c:pt>
                <c:pt idx="64">
                  <c:v>340</c:v>
                </c:pt>
                <c:pt idx="65">
                  <c:v>345</c:v>
                </c:pt>
                <c:pt idx="66">
                  <c:v>350</c:v>
                </c:pt>
                <c:pt idx="67">
                  <c:v>355</c:v>
                </c:pt>
                <c:pt idx="68">
                  <c:v>360</c:v>
                </c:pt>
                <c:pt idx="69">
                  <c:v>365</c:v>
                </c:pt>
                <c:pt idx="70">
                  <c:v>370</c:v>
                </c:pt>
                <c:pt idx="71">
                  <c:v>375</c:v>
                </c:pt>
                <c:pt idx="72">
                  <c:v>380</c:v>
                </c:pt>
                <c:pt idx="73">
                  <c:v>385</c:v>
                </c:pt>
                <c:pt idx="74">
                  <c:v>390</c:v>
                </c:pt>
                <c:pt idx="75">
                  <c:v>395</c:v>
                </c:pt>
                <c:pt idx="76">
                  <c:v>400</c:v>
                </c:pt>
              </c:numCache>
            </c:numRef>
          </c:xVal>
          <c:yVal>
            <c:numRef>
              <c:f>'Fluid viscosity'!$G$6:$G$82</c:f>
              <c:numCache>
                <c:formatCode>General</c:formatCode>
                <c:ptCount val="77"/>
                <c:pt idx="0">
                  <c:v>1744.6</c:v>
                </c:pt>
                <c:pt idx="1">
                  <c:v>1556.2</c:v>
                </c:pt>
                <c:pt idx="2">
                  <c:v>1399.1</c:v>
                </c:pt>
                <c:pt idx="3">
                  <c:v>1266.8</c:v>
                </c:pt>
                <c:pt idx="4">
                  <c:v>1154</c:v>
                </c:pt>
                <c:pt idx="5">
                  <c:v>1057.0999999999999</c:v>
                </c:pt>
                <c:pt idx="6">
                  <c:v>973.2</c:v>
                </c:pt>
                <c:pt idx="7">
                  <c:v>899.8</c:v>
                </c:pt>
                <c:pt idx="8">
                  <c:v>835.4</c:v>
                </c:pt>
                <c:pt idx="9">
                  <c:v>778.4</c:v>
                </c:pt>
                <c:pt idx="10">
                  <c:v>727.7</c:v>
                </c:pt>
                <c:pt idx="11">
                  <c:v>682.5</c:v>
                </c:pt>
                <c:pt idx="12">
                  <c:v>641.79999999999995</c:v>
                </c:pt>
                <c:pt idx="13">
                  <c:v>605.1</c:v>
                </c:pt>
                <c:pt idx="14">
                  <c:v>572</c:v>
                </c:pt>
                <c:pt idx="15">
                  <c:v>541.9</c:v>
                </c:pt>
                <c:pt idx="16">
                  <c:v>514.4</c:v>
                </c:pt>
                <c:pt idx="17">
                  <c:v>489.4</c:v>
                </c:pt>
                <c:pt idx="18">
                  <c:v>466.4</c:v>
                </c:pt>
                <c:pt idx="19">
                  <c:v>445.4</c:v>
                </c:pt>
                <c:pt idx="20">
                  <c:v>426</c:v>
                </c:pt>
                <c:pt idx="21">
                  <c:v>408.2</c:v>
                </c:pt>
                <c:pt idx="22">
                  <c:v>391.8</c:v>
                </c:pt>
                <c:pt idx="23">
                  <c:v>376.6</c:v>
                </c:pt>
                <c:pt idx="24">
                  <c:v>362.6</c:v>
                </c:pt>
                <c:pt idx="25">
                  <c:v>349.6</c:v>
                </c:pt>
                <c:pt idx="26">
                  <c:v>337.6</c:v>
                </c:pt>
                <c:pt idx="27" formatCode="0.0">
                  <c:v>349.37120525487035</c:v>
                </c:pt>
                <c:pt idx="28" formatCode="0.0">
                  <c:v>339.99344835154255</c:v>
                </c:pt>
                <c:pt idx="29" formatCode="0.0">
                  <c:v>331.14456635717545</c:v>
                </c:pt>
                <c:pt idx="30" formatCode="0.0">
                  <c:v>322.7800227127056</c:v>
                </c:pt>
                <c:pt idx="31" formatCode="0.0">
                  <c:v>314.86019908185784</c:v>
                </c:pt>
                <c:pt idx="32" formatCode="0.0">
                  <c:v>307.34973044178849</c:v>
                </c:pt>
                <c:pt idx="33" formatCode="0.0">
                  <c:v>300.21694563775026</c:v>
                </c:pt>
                <c:pt idx="34" formatCode="0.0">
                  <c:v>293.43339433383449</c:v>
                </c:pt>
                <c:pt idx="35" formatCode="0.0">
                  <c:v>286.97344514064804</c:v>
                </c:pt>
                <c:pt idx="36" formatCode="0.0">
                  <c:v>280.8139426957855</c:v>
                </c:pt>
                <c:pt idx="37" formatCode="0.0">
                  <c:v>274.93391381977142</c:v>
                </c:pt>
                <c:pt idx="38" formatCode="0.0">
                  <c:v>269.31431472119095</c:v>
                </c:pt>
                <c:pt idx="39" formatCode="0.0">
                  <c:v>263.93781269382521</c:v>
                </c:pt>
                <c:pt idx="40" formatCode="0.0">
                  <c:v>258.78859692149689</c:v>
                </c:pt>
                <c:pt idx="41" formatCode="0.0">
                  <c:v>253.85221394797486</c:v>
                </c:pt>
                <c:pt idx="42" formatCode="0.0">
                  <c:v>249.1154241293317</c:v>
                </c:pt>
                <c:pt idx="43" formatCode="0.0">
                  <c:v>244.56607600274936</c:v>
                </c:pt>
                <c:pt idx="44" formatCode="0.0">
                  <c:v>240.19299600839491</c:v>
                </c:pt>
                <c:pt idx="45" formatCode="0.0">
                  <c:v>235.98589141265484</c:v>
                </c:pt>
                <c:pt idx="46" formatCode="0.0">
                  <c:v>231.93526461961935</c:v>
                </c:pt>
                <c:pt idx="47" formatCode="0.0">
                  <c:v>228.0323373374523</c:v>
                </c:pt>
                <c:pt idx="48" formatCode="0.0">
                  <c:v>224.26898329828896</c:v>
                </c:pt>
                <c:pt idx="49" formatCode="0.0">
                  <c:v>220.63766842349264</c:v>
                </c:pt>
                <c:pt idx="50" formatCode="0.0">
                  <c:v>217.13139748756234</c:v>
                </c:pt>
                <c:pt idx="51" formatCode="0.0">
                  <c:v>213.74366646940786</c:v>
                </c:pt>
                <c:pt idx="52" formatCode="0.0">
                  <c:v>210.46841989367655</c:v>
                </c:pt>
                <c:pt idx="53" formatCode="0.0">
                  <c:v>207.30001256107067</c:v>
                </c:pt>
                <c:pt idx="54" formatCode="0.0">
                  <c:v>204.23317514811086</c:v>
                </c:pt>
                <c:pt idx="55" formatCode="0.0">
                  <c:v>201.26298322607983</c:v>
                </c:pt>
                <c:pt idx="56" formatCode="0.0">
                  <c:v>198.38482930791579</c:v>
                </c:pt>
                <c:pt idx="57" formatCode="0.0">
                  <c:v>195.59439758227205</c:v>
                </c:pt>
                <c:pt idx="58" formatCode="0.0">
                  <c:v>192.88764103720408</c:v>
                </c:pt>
                <c:pt idx="59" formatCode="0.0">
                  <c:v>190.2607607130885</c:v>
                </c:pt>
                <c:pt idx="60" formatCode="0.0">
                  <c:v>187.7101868563889</c:v>
                </c:pt>
                <c:pt idx="61" formatCode="0.0">
                  <c:v>185.23256177351593</c:v>
                </c:pt>
                <c:pt idx="62" formatCode="0.0">
                  <c:v>182.82472420795773</c:v>
                </c:pt>
                <c:pt idx="63" formatCode="0.0">
                  <c:v>180.48369508461485</c:v>
                </c:pt>
                <c:pt idx="64" formatCode="0.0">
                  <c:v>178.20666448332327</c:v>
                </c:pt>
                <c:pt idx="65" formatCode="0.0">
                  <c:v>175.99097971928526</c:v>
                </c:pt>
                <c:pt idx="66" formatCode="0.0">
                  <c:v>173.83413442186486</c:v>
                </c:pt>
                <c:pt idx="67" formatCode="0.0">
                  <c:v>171.73375851522783</c:v>
                </c:pt>
                <c:pt idx="68" formatCode="0.0">
                  <c:v>169.6876090148551</c:v>
                </c:pt>
                <c:pt idx="69" formatCode="0.0">
                  <c:v>167.6935615632114</c:v>
                </c:pt>
                <c:pt idx="70" formatCode="0.0">
                  <c:v>165.7496026360144</c:v>
                </c:pt>
                <c:pt idx="71" formatCode="0.0">
                  <c:v>163.85382235773162</c:v>
                </c:pt>
                <c:pt idx="72" formatCode="0.0">
                  <c:v>162.00440787128662</c:v>
                </c:pt>
                <c:pt idx="73" formatCode="0.0">
                  <c:v>160.19963721257369</c:v>
                </c:pt>
                <c:pt idx="74" formatCode="0.0">
                  <c:v>158.43787364536234</c:v>
                </c:pt>
                <c:pt idx="75" formatCode="0.0">
                  <c:v>156.71756041659395</c:v>
                </c:pt>
                <c:pt idx="76" formatCode="0.0">
                  <c:v>155.03721589600457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252-4458-A07C-632352DE1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901567"/>
        <c:axId val="487082959"/>
      </c:scatterChart>
      <c:valAx>
        <c:axId val="181490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7082959"/>
        <c:crosses val="autoZero"/>
        <c:crossBetween val="midCat"/>
      </c:valAx>
      <c:valAx>
        <c:axId val="487082959"/>
        <c:scaling>
          <c:orientation val="minMax"/>
          <c:max val="1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Viscosity (µPa 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49015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2.xml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33807</xdr:colOff>
      <xdr:row>1</xdr:row>
      <xdr:rowOff>173182</xdr:rowOff>
    </xdr:from>
    <xdr:to>
      <xdr:col>4</xdr:col>
      <xdr:colOff>90049</xdr:colOff>
      <xdr:row>5</xdr:row>
      <xdr:rowOff>57235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E8EE9E-95B3-44F0-B47A-8630B85F9F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83" y="355985"/>
          <a:ext cx="3408073" cy="605644"/>
        </a:xfrm>
        <a:prstGeom prst="rect">
          <a:avLst/>
        </a:prstGeom>
      </xdr:spPr>
    </xdr:pic>
    <xdr:clientData/>
  </xdr:twoCellAnchor>
  <xdr:twoCellAnchor editAs="oneCell">
    <xdr:from>
      <xdr:col>5</xdr:col>
      <xdr:colOff>73660</xdr:colOff>
      <xdr:row>1</xdr:row>
      <xdr:rowOff>48107</xdr:rowOff>
    </xdr:from>
    <xdr:to>
      <xdr:col>7</xdr:col>
      <xdr:colOff>727363</xdr:colOff>
      <xdr:row>6</xdr:row>
      <xdr:rowOff>27542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C6DF79D-0162-4D2A-964D-74A646EA1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12827" y="230910"/>
          <a:ext cx="2173855" cy="874208"/>
        </a:xfrm>
        <a:prstGeom prst="rect">
          <a:avLst/>
        </a:prstGeom>
      </xdr:spPr>
    </xdr:pic>
    <xdr:clientData/>
  </xdr:twoCellAnchor>
  <xdr:twoCellAnchor>
    <xdr:from>
      <xdr:col>0</xdr:col>
      <xdr:colOff>410719</xdr:colOff>
      <xdr:row>46</xdr:row>
      <xdr:rowOff>95417</xdr:rowOff>
    </xdr:from>
    <xdr:to>
      <xdr:col>12</xdr:col>
      <xdr:colOff>728383</xdr:colOff>
      <xdr:row>75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15899B73-5900-415C-A1E3-E660097447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197917</xdr:colOff>
      <xdr:row>50</xdr:row>
      <xdr:rowOff>65956</xdr:rowOff>
    </xdr:from>
    <xdr:to>
      <xdr:col>10</xdr:col>
      <xdr:colOff>543629</xdr:colOff>
      <xdr:row>60</xdr:row>
      <xdr:rowOff>151766</xdr:rowOff>
    </xdr:to>
    <xdr:sp macro="" textlink="">
      <xdr:nvSpPr>
        <xdr:cNvPr id="7" name="CuadroTexto 1">
          <a:extLst>
            <a:ext uri="{FF2B5EF4-FFF2-40B4-BE49-F238E27FC236}">
              <a16:creationId xmlns:a16="http://schemas.microsoft.com/office/drawing/2014/main" id="{16242410-9707-9EDB-E325-07767EA8682D}"/>
            </a:ext>
          </a:extLst>
        </xdr:cNvPr>
        <xdr:cNvSpPr txBox="1"/>
      </xdr:nvSpPr>
      <xdr:spPr>
        <a:xfrm rot="16200000">
          <a:off x="8306456" y="10245417"/>
          <a:ext cx="1878751" cy="34571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200" b="1"/>
            <a:t>Fluidization velocity (</a:t>
          </a:r>
          <a:r>
            <a:rPr lang="es-CO" sz="1200" b="1" i="1"/>
            <a:t>v_f</a:t>
          </a:r>
          <a:r>
            <a:rPr lang="es-CO" sz="1200" b="1"/>
            <a:t>)</a:t>
          </a:r>
        </a:p>
      </xdr:txBody>
    </xdr:sp>
    <xdr:clientData/>
  </xdr:twoCellAnchor>
  <xdr:twoCellAnchor>
    <xdr:from>
      <xdr:col>10</xdr:col>
      <xdr:colOff>205946</xdr:colOff>
      <xdr:row>48</xdr:row>
      <xdr:rowOff>152400</xdr:rowOff>
    </xdr:from>
    <xdr:to>
      <xdr:col>12</xdr:col>
      <xdr:colOff>234549</xdr:colOff>
      <xdr:row>62</xdr:row>
      <xdr:rowOff>55217</xdr:rowOff>
    </xdr:to>
    <xdr:sp macro="" textlink="">
      <xdr:nvSpPr>
        <xdr:cNvPr id="11" name="Rectángulo 10">
          <a:extLst>
            <a:ext uri="{FF2B5EF4-FFF2-40B4-BE49-F238E27FC236}">
              <a16:creationId xmlns:a16="http://schemas.microsoft.com/office/drawing/2014/main" id="{2FCAA39D-2B44-478A-54BE-44CA4964E586}"/>
            </a:ext>
          </a:extLst>
        </xdr:cNvPr>
        <xdr:cNvSpPr/>
      </xdr:nvSpPr>
      <xdr:spPr>
        <a:xfrm>
          <a:off x="9073859" y="9075530"/>
          <a:ext cx="1552603" cy="2376557"/>
        </a:xfrm>
        <a:prstGeom prst="rect">
          <a:avLst/>
        </a:prstGeom>
        <a:noFill/>
        <a:ln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10</xdr:col>
      <xdr:colOff>197917</xdr:colOff>
      <xdr:row>62</xdr:row>
      <xdr:rowOff>112057</xdr:rowOff>
    </xdr:from>
    <xdr:to>
      <xdr:col>10</xdr:col>
      <xdr:colOff>543629</xdr:colOff>
      <xdr:row>72</xdr:row>
      <xdr:rowOff>89647</xdr:rowOff>
    </xdr:to>
    <xdr:sp macro="" textlink="">
      <xdr:nvSpPr>
        <xdr:cNvPr id="12" name="CuadroTexto 1">
          <a:extLst>
            <a:ext uri="{FF2B5EF4-FFF2-40B4-BE49-F238E27FC236}">
              <a16:creationId xmlns:a16="http://schemas.microsoft.com/office/drawing/2014/main" id="{82B32727-AF0D-112D-27BE-885EE3A0EDFF}"/>
            </a:ext>
          </a:extLst>
        </xdr:cNvPr>
        <xdr:cNvSpPr txBox="1"/>
      </xdr:nvSpPr>
      <xdr:spPr>
        <a:xfrm rot="16200000">
          <a:off x="8360566" y="12388938"/>
          <a:ext cx="1770531" cy="34571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200" b="1"/>
            <a:t>Settling velocity (</a:t>
          </a:r>
          <a:r>
            <a:rPr lang="es-CO" sz="1200" b="1" i="1"/>
            <a:t>v_t</a:t>
          </a:r>
          <a:r>
            <a:rPr lang="es-CO" sz="1200" b="1"/>
            <a:t>)</a:t>
          </a:r>
        </a:p>
      </xdr:txBody>
    </xdr:sp>
    <xdr:clientData/>
  </xdr:twoCellAnchor>
  <xdr:twoCellAnchor>
    <xdr:from>
      <xdr:col>10</xdr:col>
      <xdr:colOff>161496</xdr:colOff>
      <xdr:row>62</xdr:row>
      <xdr:rowOff>77305</xdr:rowOff>
    </xdr:from>
    <xdr:to>
      <xdr:col>12</xdr:col>
      <xdr:colOff>607712</xdr:colOff>
      <xdr:row>72</xdr:row>
      <xdr:rowOff>88349</xdr:rowOff>
    </xdr:to>
    <xdr:sp macro="" textlink="">
      <xdr:nvSpPr>
        <xdr:cNvPr id="17" name="Rectángulo 16">
          <a:extLst>
            <a:ext uri="{FF2B5EF4-FFF2-40B4-BE49-F238E27FC236}">
              <a16:creationId xmlns:a16="http://schemas.microsoft.com/office/drawing/2014/main" id="{0C3B57BF-4C14-FA74-D49F-E481F38B6686}"/>
            </a:ext>
          </a:extLst>
        </xdr:cNvPr>
        <xdr:cNvSpPr/>
      </xdr:nvSpPr>
      <xdr:spPr>
        <a:xfrm>
          <a:off x="9029409" y="11474175"/>
          <a:ext cx="1970216" cy="1778000"/>
        </a:xfrm>
        <a:prstGeom prst="rect">
          <a:avLst/>
        </a:prstGeom>
        <a:noFill/>
        <a:ln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752841</xdr:colOff>
      <xdr:row>1</xdr:row>
      <xdr:rowOff>13045</xdr:rowOff>
    </xdr:from>
    <xdr:to>
      <xdr:col>7</xdr:col>
      <xdr:colOff>298014</xdr:colOff>
      <xdr:row>5</xdr:row>
      <xdr:rowOff>120899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C6508F-A06B-4DA0-80E4-71410B89B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841" y="763500"/>
          <a:ext cx="5038885" cy="848687"/>
        </a:xfrm>
        <a:prstGeom prst="rect">
          <a:avLst/>
        </a:prstGeom>
      </xdr:spPr>
    </xdr:pic>
    <xdr:clientData/>
  </xdr:twoCellAnchor>
  <xdr:twoCellAnchor>
    <xdr:from>
      <xdr:col>0</xdr:col>
      <xdr:colOff>753300</xdr:colOff>
      <xdr:row>12</xdr:row>
      <xdr:rowOff>15048</xdr:rowOff>
    </xdr:from>
    <xdr:to>
      <xdr:col>9</xdr:col>
      <xdr:colOff>86591</xdr:colOff>
      <xdr:row>30</xdr:row>
      <xdr:rowOff>67349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00FDFAD-1276-4363-ACE3-A7605BEAD3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298951</xdr:colOff>
      <xdr:row>1</xdr:row>
      <xdr:rowOff>14238</xdr:rowOff>
    </xdr:from>
    <xdr:to>
      <xdr:col>16</xdr:col>
      <xdr:colOff>536657</xdr:colOff>
      <xdr:row>4</xdr:row>
      <xdr:rowOff>165157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AC18ABA-32B2-44EF-8F61-41FE47492E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14784" b="2090"/>
        <a:stretch/>
      </xdr:blipFill>
      <xdr:spPr>
        <a:xfrm>
          <a:off x="11233480" y="777377"/>
          <a:ext cx="1909208" cy="7061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352126</xdr:colOff>
      <xdr:row>2</xdr:row>
      <xdr:rowOff>158134</xdr:rowOff>
    </xdr:from>
    <xdr:to>
      <xdr:col>21</xdr:col>
      <xdr:colOff>352126</xdr:colOff>
      <xdr:row>19</xdr:row>
      <xdr:rowOff>130011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E6106F1-EEF5-31A8-B827-DA05234A1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201902</xdr:colOff>
      <xdr:row>5</xdr:row>
      <xdr:rowOff>415</xdr:rowOff>
    </xdr:from>
    <xdr:to>
      <xdr:col>13</xdr:col>
      <xdr:colOff>201902</xdr:colOff>
      <xdr:row>20</xdr:row>
      <xdr:rowOff>20010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CC97B27B-F484-4127-D980-791476149B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4276A-5555-4D1C-9311-859C612075E1}">
  <dimension ref="A1:AO51"/>
  <sheetViews>
    <sheetView tabSelected="1" zoomScale="70" zoomScaleNormal="70" workbookViewId="0"/>
  </sheetViews>
  <sheetFormatPr baseColWidth="10" defaultRowHeight="14" x14ac:dyDescent="0.3"/>
  <cols>
    <col min="1" max="1" width="10.90625" style="2"/>
    <col min="2" max="2" width="18.6328125" style="2" bestFit="1" customWidth="1"/>
    <col min="3" max="3" width="18.453125" style="2" bestFit="1" customWidth="1"/>
    <col min="4" max="4" width="10.90625" style="2"/>
    <col min="5" max="5" width="13.54296875" style="2" bestFit="1" customWidth="1"/>
    <col min="6" max="16384" width="10.90625" style="2"/>
  </cols>
  <sheetData>
    <row r="1" spans="2:41" ht="16.5" x14ac:dyDescent="0.3">
      <c r="B1" s="1" t="s">
        <v>68</v>
      </c>
      <c r="F1" s="1" t="s">
        <v>69</v>
      </c>
    </row>
    <row r="5" spans="2:41" ht="16" thickBot="1" x14ac:dyDescent="0.4">
      <c r="B5" s="44"/>
      <c r="D5" s="44"/>
    </row>
    <row r="6" spans="2:41" x14ac:dyDescent="0.3">
      <c r="N6" s="45" t="s">
        <v>64</v>
      </c>
      <c r="O6" s="46">
        <v>1</v>
      </c>
      <c r="P6" s="46">
        <v>10</v>
      </c>
      <c r="Q6" s="47">
        <v>100</v>
      </c>
    </row>
    <row r="7" spans="2:41" ht="14.5" thickBot="1" x14ac:dyDescent="0.35">
      <c r="N7" s="48" t="s">
        <v>63</v>
      </c>
      <c r="O7" s="49">
        <v>30</v>
      </c>
      <c r="P7" s="49">
        <v>4</v>
      </c>
      <c r="Q7" s="50">
        <v>1</v>
      </c>
    </row>
    <row r="8" spans="2:41" x14ac:dyDescent="0.3">
      <c r="B8" s="51" t="s">
        <v>56</v>
      </c>
      <c r="C8" s="46" t="s">
        <v>62</v>
      </c>
      <c r="D8" s="46" t="s">
        <v>57</v>
      </c>
      <c r="E8" s="47" t="s">
        <v>58</v>
      </c>
      <c r="H8" s="52" t="s">
        <v>21</v>
      </c>
      <c r="I8" s="53"/>
      <c r="J8" s="53"/>
      <c r="K8" s="53"/>
      <c r="L8" s="53"/>
      <c r="M8" s="53"/>
      <c r="N8" s="54"/>
      <c r="O8" s="55"/>
      <c r="P8" s="54"/>
      <c r="Q8" s="56"/>
      <c r="S8" s="52" t="s">
        <v>22</v>
      </c>
      <c r="T8" s="54"/>
      <c r="U8" s="54"/>
      <c r="V8" s="54"/>
      <c r="W8" s="54"/>
      <c r="X8" s="54"/>
      <c r="Y8" s="56"/>
      <c r="AA8" s="52" t="s">
        <v>23</v>
      </c>
      <c r="AB8" s="54"/>
      <c r="AC8" s="54"/>
      <c r="AD8" s="54"/>
      <c r="AE8" s="54"/>
      <c r="AF8" s="54"/>
      <c r="AG8" s="56"/>
      <c r="AI8" s="52" t="s">
        <v>87</v>
      </c>
      <c r="AJ8" s="54"/>
      <c r="AK8" s="54"/>
      <c r="AL8" s="54"/>
      <c r="AM8" s="54"/>
      <c r="AN8" s="54"/>
      <c r="AO8" s="56"/>
    </row>
    <row r="9" spans="2:41" x14ac:dyDescent="0.3">
      <c r="B9" s="12" t="s">
        <v>94</v>
      </c>
      <c r="C9" s="103" t="s">
        <v>19</v>
      </c>
      <c r="D9" s="2">
        <v>6300</v>
      </c>
      <c r="E9" s="13" t="s">
        <v>20</v>
      </c>
      <c r="H9" s="12" t="s">
        <v>25</v>
      </c>
      <c r="I9" s="1" t="s">
        <v>26</v>
      </c>
      <c r="J9" s="49" t="s">
        <v>27</v>
      </c>
      <c r="K9" s="49" t="s">
        <v>28</v>
      </c>
      <c r="L9" s="49" t="s">
        <v>29</v>
      </c>
      <c r="M9" s="57" t="s">
        <v>30</v>
      </c>
      <c r="N9" s="49" t="s">
        <v>30</v>
      </c>
      <c r="O9" s="58" t="s">
        <v>31</v>
      </c>
      <c r="P9" s="57" t="s">
        <v>31</v>
      </c>
      <c r="Q9" s="59" t="s">
        <v>31</v>
      </c>
      <c r="S9" s="12" t="s">
        <v>25</v>
      </c>
      <c r="T9" s="1" t="s">
        <v>26</v>
      </c>
      <c r="U9" s="49" t="s">
        <v>27</v>
      </c>
      <c r="V9" s="49" t="s">
        <v>28</v>
      </c>
      <c r="W9" s="49" t="s">
        <v>29</v>
      </c>
      <c r="X9" s="57" t="s">
        <v>30</v>
      </c>
      <c r="Y9" s="50" t="s">
        <v>30</v>
      </c>
      <c r="Z9" s="10"/>
      <c r="AA9" s="12" t="s">
        <v>25</v>
      </c>
      <c r="AB9" s="1" t="s">
        <v>26</v>
      </c>
      <c r="AC9" s="49" t="s">
        <v>27</v>
      </c>
      <c r="AD9" s="49" t="s">
        <v>28</v>
      </c>
      <c r="AE9" s="49" t="s">
        <v>29</v>
      </c>
      <c r="AF9" s="49" t="s">
        <v>30</v>
      </c>
      <c r="AG9" s="50" t="s">
        <v>30</v>
      </c>
      <c r="AI9" s="12" t="s">
        <v>25</v>
      </c>
      <c r="AJ9" s="1" t="s">
        <v>26</v>
      </c>
      <c r="AK9" s="49" t="s">
        <v>27</v>
      </c>
      <c r="AL9" s="49" t="s">
        <v>28</v>
      </c>
      <c r="AM9" s="49" t="s">
        <v>29</v>
      </c>
      <c r="AN9" s="49" t="s">
        <v>30</v>
      </c>
      <c r="AO9" s="50" t="s">
        <v>30</v>
      </c>
    </row>
    <row r="10" spans="2:41" x14ac:dyDescent="0.3">
      <c r="B10" s="12" t="s">
        <v>24</v>
      </c>
      <c r="C10" s="104" t="s">
        <v>80</v>
      </c>
      <c r="D10" s="105">
        <v>670</v>
      </c>
      <c r="E10" s="60" t="s">
        <v>20</v>
      </c>
      <c r="H10" s="4">
        <v>0.01</v>
      </c>
      <c r="I10" s="61">
        <f>H10/1000000</f>
        <v>1E-8</v>
      </c>
      <c r="J10" s="61">
        <f t="shared" ref="J10:J19" si="0">1.75*$D$10/(I10*$D$14)</f>
        <v>390833333333.33331</v>
      </c>
      <c r="K10" s="61">
        <f t="shared" ref="K10:K19" si="1">150*(1-$D$14)*$D$19/((I10^2)*$D$14^3)</f>
        <v>3861666666666665.5</v>
      </c>
      <c r="L10" s="2">
        <f t="shared" ref="L10:L19" si="2">-($D$9-$D$10)*$D$13</f>
        <v>-55174.000000000007</v>
      </c>
      <c r="M10" s="62">
        <f>(-K10+SQRT((K10^2)-4*J10*L10))/(2*J10)</f>
        <v>1.4072494669509596E-11</v>
      </c>
      <c r="N10" s="61">
        <f>(-K10-SQRT((K10^2)-4*J10*L10))/(2*J10)</f>
        <v>-9880.5970149253844</v>
      </c>
      <c r="O10" s="63">
        <f t="shared" ref="O10:O19" si="3">SQRT(4*I10*(-L10)/(3*$D$10*$O$7))</f>
        <v>1.9131039784873552E-4</v>
      </c>
      <c r="P10" s="62">
        <f t="shared" ref="P10:P19" si="4">SQRT(4*I10*(-L10)/(3*$D$10*$P$7))</f>
        <v>5.2392510193520123E-4</v>
      </c>
      <c r="Q10" s="64">
        <f t="shared" ref="Q10:Q19" si="5">SQRT(4*I10*(-L10)/(3*$D$10*$Q$7))</f>
        <v>1.0478502038704025E-3</v>
      </c>
      <c r="S10" s="4">
        <v>0.01</v>
      </c>
      <c r="T10" s="61">
        <f>S10/1000000</f>
        <v>1E-8</v>
      </c>
      <c r="U10" s="61">
        <f t="shared" ref="U10:U19" si="6">1.75*$D$10/(T10*$D$15)</f>
        <v>234500000000</v>
      </c>
      <c r="V10" s="61">
        <f t="shared" ref="V10:V19" si="7">150*(1-$D$15)*$D$19/((T10^2)*$D$15^3)</f>
        <v>595799999999999.88</v>
      </c>
      <c r="W10" s="2">
        <f t="shared" ref="W10:W19" si="8">-($D$9-$D$10)*$D$13</f>
        <v>-55174.000000000007</v>
      </c>
      <c r="X10" s="62">
        <f>(-V10+SQRT((V10^2)-4*U10*W10))/(2*U10)</f>
        <v>9.2484008528784642E-11</v>
      </c>
      <c r="Y10" s="65">
        <f>(-V10-SQRT((V10^2)-4*U10*W10))/(2*U10)</f>
        <v>-2540.7249466951876</v>
      </c>
      <c r="Z10" s="61"/>
      <c r="AA10" s="4">
        <v>0.01</v>
      </c>
      <c r="AB10" s="61">
        <f>AA10/1000000</f>
        <v>1E-8</v>
      </c>
      <c r="AC10" s="61">
        <f t="shared" ref="AC10:AC19" si="9">1.75*$D$10/(AB10*$D$16)</f>
        <v>167500000000</v>
      </c>
      <c r="AD10" s="61">
        <f t="shared" ref="AD10:AD19" si="10">150*(1-$D$16)*$D$19/((AB10^2)*$D$16^3)</f>
        <v>130276967930029.17</v>
      </c>
      <c r="AE10" s="2">
        <f t="shared" ref="AE10:AE19" si="11">-($D$9-$D$10)*$D$13</f>
        <v>-55174.000000000007</v>
      </c>
      <c r="AF10" s="62">
        <f>(-AD10+SQRT((AD10^2)-4*AC10*AE10))/(2*AC10)</f>
        <v>4.2350746268656716E-10</v>
      </c>
      <c r="AG10" s="65">
        <f>(-AD10-SQRT((AD10^2)-4*AC10*AE10))/(2*AC10)</f>
        <v>-777.77294286626932</v>
      </c>
      <c r="AI10" s="4">
        <v>0.01</v>
      </c>
      <c r="AJ10" s="61">
        <f>AI10/1000000</f>
        <v>1E-8</v>
      </c>
      <c r="AK10" s="61">
        <f>1.75*$D$10/(AJ10*$D$17)</f>
        <v>130277777777.77776</v>
      </c>
      <c r="AL10" s="61">
        <f>150*(1-$D$17)*$D$19/((AJ10^2)*$D$17^3)</f>
        <v>20432098765432.09</v>
      </c>
      <c r="AM10" s="2">
        <f>-($D$9-$D$10)*$D$13</f>
        <v>-55174.000000000007</v>
      </c>
      <c r="AN10" s="62">
        <f>(-AL10+SQRT((AL10^2)-4*AK10*AM10))/(2*AK10)</f>
        <v>2.7003598081023457E-9</v>
      </c>
      <c r="AO10" s="65">
        <f>(-AL10-SQRT((AL10^2)-4*AK10*AM10))/(2*AK10)</f>
        <v>-156.83487325548401</v>
      </c>
    </row>
    <row r="11" spans="2:41" x14ac:dyDescent="0.3">
      <c r="B11" s="12"/>
      <c r="C11" s="106" t="s">
        <v>81</v>
      </c>
      <c r="D11" s="107">
        <v>794</v>
      </c>
      <c r="E11" s="66" t="s">
        <v>20</v>
      </c>
      <c r="H11" s="4">
        <f>5*H10</f>
        <v>0.05</v>
      </c>
      <c r="I11" s="61">
        <f t="shared" ref="I11:I19" si="12">H11/1000000</f>
        <v>5.0000000000000004E-8</v>
      </c>
      <c r="J11" s="61">
        <f t="shared" si="0"/>
        <v>78166666666.666656</v>
      </c>
      <c r="K11" s="61">
        <f t="shared" si="1"/>
        <v>154466666666666.63</v>
      </c>
      <c r="L11" s="2">
        <f t="shared" si="2"/>
        <v>-55174.000000000007</v>
      </c>
      <c r="M11" s="62">
        <f t="shared" ref="M11:M19" si="13">(-K11+SQRT((K11^2)-4*J11*L11))/(2*J11)</f>
        <v>3.5720948827292118E-10</v>
      </c>
      <c r="N11" s="61">
        <f t="shared" ref="N11:N19" si="14">(-K11-SQRT((K11^2)-4*J11*L11))/(2*J11)</f>
        <v>-1976.1194029854319</v>
      </c>
      <c r="O11" s="63">
        <f t="shared" si="3"/>
        <v>4.2778305439230213E-4</v>
      </c>
      <c r="P11" s="62">
        <f t="shared" si="4"/>
        <v>1.1715321430456165E-3</v>
      </c>
      <c r="Q11" s="64">
        <f t="shared" si="5"/>
        <v>2.3430642860912329E-3</v>
      </c>
      <c r="S11" s="4">
        <f>5*S10</f>
        <v>0.05</v>
      </c>
      <c r="T11" s="61">
        <f>T10*5</f>
        <v>4.9999999999999998E-8</v>
      </c>
      <c r="U11" s="61">
        <f t="shared" si="6"/>
        <v>46900000000</v>
      </c>
      <c r="V11" s="61">
        <f t="shared" si="7"/>
        <v>23832000000000</v>
      </c>
      <c r="W11" s="2">
        <f t="shared" si="8"/>
        <v>-55174.000000000007</v>
      </c>
      <c r="X11" s="62">
        <f>(-V11+SQRT((V11^2)-4*U11*W11))/(2*U11)</f>
        <v>2.3151402585287847E-9</v>
      </c>
      <c r="Y11" s="65">
        <f t="shared" ref="Y11:Y19" si="15">(-V11-SQRT((V11^2)-4*U11*W11))/(2*U11)</f>
        <v>-508.14498934133428</v>
      </c>
      <c r="Z11" s="61"/>
      <c r="AA11" s="4">
        <f>5*AA10</f>
        <v>0.05</v>
      </c>
      <c r="AB11" s="61">
        <f t="shared" ref="AB11:AB19" si="16">AA11/1000000</f>
        <v>5.0000000000000004E-8</v>
      </c>
      <c r="AC11" s="61">
        <f t="shared" si="9"/>
        <v>33499999999.999996</v>
      </c>
      <c r="AD11" s="61">
        <f t="shared" si="10"/>
        <v>5211078717201.167</v>
      </c>
      <c r="AE11" s="2">
        <f t="shared" si="11"/>
        <v>-55174.000000000007</v>
      </c>
      <c r="AF11" s="62">
        <f t="shared" ref="AF11:AF19" si="17">(-AD11+SQRT((AD11^2)-4*AC11*AE11))/(2*AC11)</f>
        <v>1.0587832322761194E-8</v>
      </c>
      <c r="AG11" s="65">
        <f t="shared" ref="AG11:AG19" si="18">(-AD11-SQRT((AD11^2)-4*AC11*AE11))/(2*AC11)</f>
        <v>-155.55458858375701</v>
      </c>
      <c r="AI11" s="4">
        <f>5*AI10</f>
        <v>0.05</v>
      </c>
      <c r="AJ11" s="61">
        <f t="shared" ref="AJ11:AJ18" si="19">AI11/1000000</f>
        <v>5.0000000000000004E-8</v>
      </c>
      <c r="AK11" s="61">
        <f t="shared" ref="AK11:AK18" si="20">1.75*$D$10/(AJ11*$D$17)</f>
        <v>26055555555.555553</v>
      </c>
      <c r="AL11" s="61">
        <f t="shared" ref="AL11:AL18" si="21">150*(1-$D$17)*$D$19/((AJ11^2)*$D$17^3)</f>
        <v>817283950617.28357</v>
      </c>
      <c r="AM11" s="2">
        <f t="shared" ref="AM11:AM18" si="22">-($D$9-$D$10)*$D$13</f>
        <v>-55174.000000000007</v>
      </c>
      <c r="AN11" s="62">
        <f>(-AL11+SQRT((AL11^2)-4*AK11*AM11))/(2*AK11)</f>
        <v>6.7508971777551973E-8</v>
      </c>
      <c r="AO11" s="65">
        <f t="shared" ref="AO11:AO19" si="23">(-AL11-SQRT((AL11^2)-4*AK11*AM11))/(2*AK11)</f>
        <v>-31.366974718065698</v>
      </c>
    </row>
    <row r="12" spans="2:41" x14ac:dyDescent="0.3">
      <c r="B12" s="12"/>
      <c r="C12" s="108" t="s">
        <v>82</v>
      </c>
      <c r="D12" s="109">
        <v>837</v>
      </c>
      <c r="E12" s="67" t="s">
        <v>20</v>
      </c>
      <c r="H12" s="4">
        <f>10*H10</f>
        <v>0.1</v>
      </c>
      <c r="I12" s="61">
        <f t="shared" si="12"/>
        <v>1.0000000000000001E-7</v>
      </c>
      <c r="J12" s="61">
        <f t="shared" si="0"/>
        <v>39083333333.333328</v>
      </c>
      <c r="K12" s="61">
        <f t="shared" si="1"/>
        <v>38616666666666.656</v>
      </c>
      <c r="L12" s="2">
        <f t="shared" si="2"/>
        <v>-55174.000000000007</v>
      </c>
      <c r="M12" s="62">
        <f t="shared" si="13"/>
        <v>1.4287380063965887E-9</v>
      </c>
      <c r="N12" s="61">
        <f t="shared" si="14"/>
        <v>-988.05970149396603</v>
      </c>
      <c r="O12" s="63">
        <f t="shared" si="3"/>
        <v>6.0497659727498112E-4</v>
      </c>
      <c r="P12" s="62">
        <f t="shared" si="4"/>
        <v>1.6567966454511278E-3</v>
      </c>
      <c r="Q12" s="64">
        <f t="shared" si="5"/>
        <v>3.3135932909022555E-3</v>
      </c>
      <c r="S12" s="4">
        <f>10*S10</f>
        <v>0.1</v>
      </c>
      <c r="T12" s="61">
        <f>T10*10</f>
        <v>9.9999999999999995E-8</v>
      </c>
      <c r="U12" s="61">
        <f t="shared" si="6"/>
        <v>23450000000</v>
      </c>
      <c r="V12" s="61">
        <f t="shared" si="7"/>
        <v>5958000000000</v>
      </c>
      <c r="W12" s="2">
        <f t="shared" si="8"/>
        <v>-55174.000000000007</v>
      </c>
      <c r="X12" s="62">
        <f t="shared" ref="X12:X19" si="24">(-V12+SQRT((V12^2)-4*U12*W12))/(2*U12)</f>
        <v>9.260498567430703E-9</v>
      </c>
      <c r="Y12" s="65">
        <f t="shared" si="15"/>
        <v>-254.07249467877008</v>
      </c>
      <c r="Z12" s="61"/>
      <c r="AA12" s="4">
        <f>10*AA10</f>
        <v>0.1</v>
      </c>
      <c r="AB12" s="61">
        <f t="shared" si="16"/>
        <v>1.0000000000000001E-7</v>
      </c>
      <c r="AC12" s="61">
        <f t="shared" si="9"/>
        <v>16749999999.999998</v>
      </c>
      <c r="AD12" s="61">
        <f t="shared" si="10"/>
        <v>1302769679300.2917</v>
      </c>
      <c r="AE12" s="2">
        <f t="shared" si="11"/>
        <v>-55174.000000000007</v>
      </c>
      <c r="AF12" s="62">
        <f t="shared" si="17"/>
        <v>4.2351307427705232E-8</v>
      </c>
      <c r="AG12" s="65">
        <f t="shared" si="18"/>
        <v>-77.777294328935909</v>
      </c>
      <c r="AI12" s="4">
        <f>10*AI10</f>
        <v>0.1</v>
      </c>
      <c r="AJ12" s="61">
        <f t="shared" si="19"/>
        <v>1.0000000000000001E-7</v>
      </c>
      <c r="AK12" s="61">
        <f t="shared" si="20"/>
        <v>13027777777.777777</v>
      </c>
      <c r="AL12" s="61">
        <f t="shared" si="21"/>
        <v>204320987654.32089</v>
      </c>
      <c r="AM12" s="2">
        <f t="shared" si="22"/>
        <v>-55174.000000000007</v>
      </c>
      <c r="AN12" s="62">
        <f t="shared" ref="AN12:AN18" si="25">(-AL12+SQRT((AL12^2)-4*AK12*AM12))/(2*AK12)</f>
        <v>2.7003588711020789E-7</v>
      </c>
      <c r="AO12" s="65">
        <f t="shared" si="23"/>
        <v>-15.683487595314251</v>
      </c>
    </row>
    <row r="13" spans="2:41" x14ac:dyDescent="0.3">
      <c r="B13" s="12" t="s">
        <v>32</v>
      </c>
      <c r="C13" s="103" t="s">
        <v>33</v>
      </c>
      <c r="D13" s="2">
        <v>9.8000000000000007</v>
      </c>
      <c r="E13" s="13" t="s">
        <v>34</v>
      </c>
      <c r="H13" s="4">
        <f>5*H12</f>
        <v>0.5</v>
      </c>
      <c r="I13" s="61">
        <f t="shared" si="12"/>
        <v>4.9999999999999998E-7</v>
      </c>
      <c r="J13" s="61">
        <f t="shared" si="0"/>
        <v>7816666666.666667</v>
      </c>
      <c r="K13" s="61">
        <f t="shared" si="1"/>
        <v>1544666666666.6665</v>
      </c>
      <c r="L13" s="2">
        <f t="shared" si="2"/>
        <v>-55174.000000000007</v>
      </c>
      <c r="M13" s="62">
        <f t="shared" si="13"/>
        <v>3.5719027976745736E-8</v>
      </c>
      <c r="N13" s="61">
        <f t="shared" si="14"/>
        <v>-197.61194033422643</v>
      </c>
      <c r="O13" s="63">
        <f t="shared" si="3"/>
        <v>1.3527687963033718E-3</v>
      </c>
      <c r="P13" s="62">
        <f t="shared" si="4"/>
        <v>3.7047099241223395E-3</v>
      </c>
      <c r="Q13" s="64">
        <f t="shared" si="5"/>
        <v>7.4094198482446789E-3</v>
      </c>
      <c r="S13" s="4">
        <f>5*S12</f>
        <v>0.5</v>
      </c>
      <c r="T13" s="61">
        <f>T12*5</f>
        <v>4.9999999999999998E-7</v>
      </c>
      <c r="U13" s="61">
        <f t="shared" si="6"/>
        <v>4690000000</v>
      </c>
      <c r="V13" s="61">
        <f t="shared" si="7"/>
        <v>238319999999.99997</v>
      </c>
      <c r="W13" s="2">
        <f t="shared" si="8"/>
        <v>-55174.000000000007</v>
      </c>
      <c r="X13" s="62">
        <f t="shared" si="24"/>
        <v>2.3151225271001298E-7</v>
      </c>
      <c r="Y13" s="65">
        <f t="shared" si="15"/>
        <v>-50.814499165414162</v>
      </c>
      <c r="Z13" s="61"/>
      <c r="AA13" s="4">
        <f>5*AA12</f>
        <v>0.5</v>
      </c>
      <c r="AB13" s="61">
        <f t="shared" si="16"/>
        <v>4.9999999999999998E-7</v>
      </c>
      <c r="AC13" s="61">
        <f t="shared" si="9"/>
        <v>3350000000</v>
      </c>
      <c r="AD13" s="61">
        <f t="shared" si="10"/>
        <v>52110787172.011681</v>
      </c>
      <c r="AE13" s="2">
        <f t="shared" si="11"/>
        <v>-55174.000000000007</v>
      </c>
      <c r="AF13" s="62">
        <f t="shared" si="17"/>
        <v>1.0587826287568504E-6</v>
      </c>
      <c r="AG13" s="65">
        <f t="shared" si="18"/>
        <v>-15.555459916099549</v>
      </c>
      <c r="AI13" s="4">
        <f>5*AI12</f>
        <v>0.5</v>
      </c>
      <c r="AJ13" s="61">
        <f t="shared" si="19"/>
        <v>4.9999999999999998E-7</v>
      </c>
      <c r="AK13" s="61">
        <f t="shared" si="20"/>
        <v>2605555555.5555558</v>
      </c>
      <c r="AL13" s="61">
        <f t="shared" si="21"/>
        <v>8172839506.1728354</v>
      </c>
      <c r="AM13" s="2">
        <f t="shared" si="22"/>
        <v>-55174.000000000007</v>
      </c>
      <c r="AN13" s="62">
        <f t="shared" si="25"/>
        <v>6.7508827514282419E-6</v>
      </c>
      <c r="AO13" s="65">
        <f t="shared" si="23"/>
        <v>-3.1367042159384235</v>
      </c>
    </row>
    <row r="14" spans="2:41" x14ac:dyDescent="0.3">
      <c r="B14" s="12" t="s">
        <v>35</v>
      </c>
      <c r="C14" s="103" t="s">
        <v>90</v>
      </c>
      <c r="D14" s="2">
        <v>0.3</v>
      </c>
      <c r="E14" s="13"/>
      <c r="H14" s="4">
        <f>10*H12</f>
        <v>1</v>
      </c>
      <c r="I14" s="61">
        <f t="shared" si="12"/>
        <v>9.9999999999999995E-7</v>
      </c>
      <c r="J14" s="61">
        <f t="shared" si="0"/>
        <v>3908333333.3333335</v>
      </c>
      <c r="K14" s="61">
        <f t="shared" si="1"/>
        <v>386166666666.66663</v>
      </c>
      <c r="L14" s="2">
        <f t="shared" si="2"/>
        <v>-55174.000000000007</v>
      </c>
      <c r="M14" s="62">
        <f t="shared" si="13"/>
        <v>1.4287613533198959E-7</v>
      </c>
      <c r="N14" s="61">
        <f t="shared" si="14"/>
        <v>-98.805970292129857</v>
      </c>
      <c r="O14" s="63">
        <f t="shared" si="3"/>
        <v>1.9131039784873551E-3</v>
      </c>
      <c r="P14" s="62">
        <f t="shared" si="4"/>
        <v>5.2392510193520125E-3</v>
      </c>
      <c r="Q14" s="64">
        <f t="shared" si="5"/>
        <v>1.0478502038704025E-2</v>
      </c>
      <c r="S14" s="4">
        <f>10*S12</f>
        <v>1</v>
      </c>
      <c r="T14" s="61">
        <f>T12*10</f>
        <v>9.9999999999999995E-7</v>
      </c>
      <c r="U14" s="61">
        <f t="shared" si="6"/>
        <v>2345000000</v>
      </c>
      <c r="V14" s="61">
        <f t="shared" si="7"/>
        <v>59579999999.999992</v>
      </c>
      <c r="W14" s="2">
        <f t="shared" si="8"/>
        <v>-55174.000000000007</v>
      </c>
      <c r="X14" s="62">
        <f t="shared" si="24"/>
        <v>9.2604897667858393E-7</v>
      </c>
      <c r="Y14" s="65">
        <f t="shared" si="15"/>
        <v>-25.407250392999931</v>
      </c>
      <c r="Z14" s="61"/>
      <c r="AA14" s="4">
        <f>10*AA12</f>
        <v>1</v>
      </c>
      <c r="AB14" s="61">
        <f t="shared" si="16"/>
        <v>9.9999999999999995E-7</v>
      </c>
      <c r="AC14" s="61">
        <f t="shared" si="9"/>
        <v>1675000000</v>
      </c>
      <c r="AD14" s="61">
        <f t="shared" si="10"/>
        <v>13027696793.00292</v>
      </c>
      <c r="AE14" s="2">
        <f t="shared" si="11"/>
        <v>-55174.000000000007</v>
      </c>
      <c r="AF14" s="62">
        <f t="shared" si="17"/>
        <v>4.2351284983620712E-6</v>
      </c>
      <c r="AG14" s="65">
        <f t="shared" si="18"/>
        <v>-7.7777336637869583</v>
      </c>
      <c r="AI14" s="4">
        <f>10*AI12</f>
        <v>1</v>
      </c>
      <c r="AJ14" s="61">
        <f t="shared" si="19"/>
        <v>9.9999999999999995E-7</v>
      </c>
      <c r="AK14" s="61">
        <f t="shared" si="20"/>
        <v>1302777777.7777779</v>
      </c>
      <c r="AL14" s="61">
        <f t="shared" si="21"/>
        <v>2043209876.5432088</v>
      </c>
      <c r="AM14" s="2">
        <f t="shared" si="22"/>
        <v>-55174.000000000007</v>
      </c>
      <c r="AN14" s="62">
        <f t="shared" si="25"/>
        <v>2.700312419624979E-5</v>
      </c>
      <c r="AO14" s="65">
        <f t="shared" si="23"/>
        <v>-1.5683757356520323</v>
      </c>
    </row>
    <row r="15" spans="2:41" x14ac:dyDescent="0.3">
      <c r="B15" s="12"/>
      <c r="C15" s="103" t="s">
        <v>91</v>
      </c>
      <c r="D15" s="2">
        <v>0.5</v>
      </c>
      <c r="E15" s="13"/>
      <c r="H15" s="4">
        <f>5*H14</f>
        <v>5</v>
      </c>
      <c r="I15" s="61">
        <f t="shared" si="12"/>
        <v>5.0000000000000004E-6</v>
      </c>
      <c r="J15" s="61">
        <f t="shared" si="0"/>
        <v>781666666.66666663</v>
      </c>
      <c r="K15" s="61">
        <f t="shared" si="1"/>
        <v>15446666666.66666</v>
      </c>
      <c r="L15" s="2">
        <f t="shared" si="2"/>
        <v>-55174.000000000007</v>
      </c>
      <c r="M15" s="62">
        <f t="shared" si="13"/>
        <v>3.5719026781094356E-6</v>
      </c>
      <c r="N15" s="61">
        <f t="shared" si="14"/>
        <v>-19.761197601753416</v>
      </c>
      <c r="O15" s="63">
        <f t="shared" si="3"/>
        <v>4.277830543923021E-3</v>
      </c>
      <c r="P15" s="62">
        <f t="shared" si="4"/>
        <v>1.1715321430456166E-2</v>
      </c>
      <c r="Q15" s="64">
        <f t="shared" si="5"/>
        <v>2.3430642860912333E-2</v>
      </c>
      <c r="S15" s="4">
        <f>5*S14</f>
        <v>5</v>
      </c>
      <c r="T15" s="61">
        <f>T14*5</f>
        <v>4.9999999999999996E-6</v>
      </c>
      <c r="U15" s="61">
        <f t="shared" si="6"/>
        <v>469000000.00000006</v>
      </c>
      <c r="V15" s="61">
        <f t="shared" si="7"/>
        <v>2383200000.0000005</v>
      </c>
      <c r="W15" s="2">
        <f t="shared" si="8"/>
        <v>-55174.000000000007</v>
      </c>
      <c r="X15" s="62">
        <f t="shared" si="24"/>
        <v>2.3151119766967379E-5</v>
      </c>
      <c r="Y15" s="65">
        <f t="shared" si="15"/>
        <v>-5.0814730445099592</v>
      </c>
      <c r="Z15" s="61"/>
      <c r="AA15" s="4">
        <f>5*AA14</f>
        <v>5</v>
      </c>
      <c r="AB15" s="61">
        <f t="shared" si="16"/>
        <v>5.0000000000000004E-6</v>
      </c>
      <c r="AC15" s="61">
        <f t="shared" si="9"/>
        <v>335000000</v>
      </c>
      <c r="AD15" s="61">
        <f t="shared" si="10"/>
        <v>521107871.72011662</v>
      </c>
      <c r="AE15" s="2">
        <f t="shared" si="11"/>
        <v>-55174.000000000007</v>
      </c>
      <c r="AF15" s="62">
        <f t="shared" si="17"/>
        <v>1.0587106448669932E-4</v>
      </c>
      <c r="AG15" s="65">
        <f t="shared" si="18"/>
        <v>-1.5556517567961783</v>
      </c>
      <c r="AI15" s="4">
        <f>5*AI14</f>
        <v>5</v>
      </c>
      <c r="AJ15" s="61">
        <f t="shared" si="19"/>
        <v>5.0000000000000004E-6</v>
      </c>
      <c r="AK15" s="61">
        <f t="shared" si="20"/>
        <v>260555555.55555555</v>
      </c>
      <c r="AL15" s="61">
        <f t="shared" si="21"/>
        <v>81728395.061728343</v>
      </c>
      <c r="AM15" s="2">
        <f t="shared" si="22"/>
        <v>-55174.000000000007</v>
      </c>
      <c r="AN15" s="62">
        <f t="shared" si="25"/>
        <v>6.7364299982190453E-4</v>
      </c>
      <c r="AO15" s="65">
        <f t="shared" si="23"/>
        <v>-0.31434338950538915</v>
      </c>
    </row>
    <row r="16" spans="2:41" x14ac:dyDescent="0.3">
      <c r="B16" s="12"/>
      <c r="C16" s="103" t="s">
        <v>92</v>
      </c>
      <c r="D16" s="2">
        <v>0.7</v>
      </c>
      <c r="E16" s="13"/>
      <c r="H16" s="4">
        <f>10*H14</f>
        <v>10</v>
      </c>
      <c r="I16" s="61">
        <f t="shared" si="12"/>
        <v>1.0000000000000001E-5</v>
      </c>
      <c r="J16" s="61">
        <f t="shared" si="0"/>
        <v>390833333.33333331</v>
      </c>
      <c r="K16" s="61">
        <f t="shared" si="1"/>
        <v>3861666666.6666651</v>
      </c>
      <c r="L16" s="2">
        <f t="shared" si="2"/>
        <v>-55174.000000000007</v>
      </c>
      <c r="M16" s="62">
        <f t="shared" si="13"/>
        <v>1.4287592633090802E-5</v>
      </c>
      <c r="N16" s="61">
        <f t="shared" si="14"/>
        <v>-9.8806113025180036</v>
      </c>
      <c r="O16" s="63">
        <f t="shared" si="3"/>
        <v>6.0497659727498107E-3</v>
      </c>
      <c r="P16" s="62">
        <f t="shared" si="4"/>
        <v>1.6567966454511279E-2</v>
      </c>
      <c r="Q16" s="64">
        <f t="shared" si="5"/>
        <v>3.3135932909022559E-2</v>
      </c>
      <c r="S16" s="4">
        <f>10*S14</f>
        <v>10</v>
      </c>
      <c r="T16" s="61">
        <f>T14*10</f>
        <v>9.9999999999999991E-6</v>
      </c>
      <c r="U16" s="61">
        <f t="shared" si="6"/>
        <v>234500000.00000003</v>
      </c>
      <c r="V16" s="61">
        <f t="shared" si="7"/>
        <v>595800000.00000012</v>
      </c>
      <c r="W16" s="2">
        <f t="shared" si="8"/>
        <v>-55174.000000000007</v>
      </c>
      <c r="X16" s="62">
        <f t="shared" si="24"/>
        <v>9.2601525935791178E-5</v>
      </c>
      <c r="Y16" s="65">
        <f t="shared" si="15"/>
        <v>-2.5408175482210318</v>
      </c>
      <c r="Z16" s="61"/>
      <c r="AA16" s="4">
        <f>10*AA14</f>
        <v>10</v>
      </c>
      <c r="AB16" s="61">
        <f t="shared" si="16"/>
        <v>1.0000000000000001E-5</v>
      </c>
      <c r="AC16" s="61">
        <f t="shared" si="9"/>
        <v>167500000</v>
      </c>
      <c r="AD16" s="61">
        <f t="shared" si="10"/>
        <v>130276967.93002915</v>
      </c>
      <c r="AE16" s="2">
        <f t="shared" si="11"/>
        <v>-55174.000000000007</v>
      </c>
      <c r="AF16" s="62">
        <f t="shared" si="17"/>
        <v>4.2328271982745446E-4</v>
      </c>
      <c r="AG16" s="65">
        <f t="shared" si="18"/>
        <v>-0.77819622558567314</v>
      </c>
      <c r="AI16" s="4">
        <f>10*AI14</f>
        <v>10</v>
      </c>
      <c r="AJ16" s="61">
        <f t="shared" si="19"/>
        <v>1.0000000000000001E-5</v>
      </c>
      <c r="AK16" s="61">
        <f t="shared" si="20"/>
        <v>130277777.77777778</v>
      </c>
      <c r="AL16" s="61">
        <f t="shared" si="21"/>
        <v>20432098.765432086</v>
      </c>
      <c r="AM16" s="2">
        <f t="shared" si="22"/>
        <v>-55174.000000000007</v>
      </c>
      <c r="AN16" s="62">
        <f t="shared" si="25"/>
        <v>2.6553998530071889E-3</v>
      </c>
      <c r="AO16" s="65">
        <f t="shared" si="23"/>
        <v>-0.15949027310579081</v>
      </c>
    </row>
    <row r="17" spans="1:41" x14ac:dyDescent="0.3">
      <c r="B17" s="4"/>
      <c r="C17" s="103" t="s">
        <v>93</v>
      </c>
      <c r="D17" s="2">
        <v>0.9</v>
      </c>
      <c r="E17" s="13"/>
      <c r="H17" s="4">
        <f>5*H16</f>
        <v>50</v>
      </c>
      <c r="I17" s="61">
        <f t="shared" si="12"/>
        <v>5.0000000000000002E-5</v>
      </c>
      <c r="J17" s="61">
        <f t="shared" si="0"/>
        <v>78166666.666666672</v>
      </c>
      <c r="K17" s="61">
        <f t="shared" si="1"/>
        <v>154466666.66666666</v>
      </c>
      <c r="L17" s="2">
        <f t="shared" si="2"/>
        <v>-55174.000000000007</v>
      </c>
      <c r="M17" s="62">
        <f t="shared" si="13"/>
        <v>3.5712579228311202E-4</v>
      </c>
      <c r="N17" s="61">
        <f t="shared" si="14"/>
        <v>-1.9764765287773576</v>
      </c>
      <c r="O17" s="63">
        <f t="shared" si="3"/>
        <v>1.3527687963033719E-2</v>
      </c>
      <c r="P17" s="62">
        <f t="shared" si="4"/>
        <v>3.7047099241223395E-2</v>
      </c>
      <c r="Q17" s="64">
        <f t="shared" si="5"/>
        <v>7.4094198482446791E-2</v>
      </c>
      <c r="S17" s="4">
        <f>5*S16</f>
        <v>50</v>
      </c>
      <c r="T17" s="61">
        <f>T16*5</f>
        <v>4.9999999999999996E-5</v>
      </c>
      <c r="U17" s="61">
        <f t="shared" si="6"/>
        <v>46900000.000000007</v>
      </c>
      <c r="V17" s="61">
        <f t="shared" si="7"/>
        <v>23832000</v>
      </c>
      <c r="W17" s="2">
        <f t="shared" si="8"/>
        <v>-55174.000000000007</v>
      </c>
      <c r="X17" s="62">
        <f t="shared" si="24"/>
        <v>2.304669793388212E-3</v>
      </c>
      <c r="Y17" s="65">
        <f t="shared" si="15"/>
        <v>-0.51044965913240736</v>
      </c>
      <c r="Z17" s="61"/>
      <c r="AA17" s="4">
        <f>5*AA16</f>
        <v>50</v>
      </c>
      <c r="AB17" s="61">
        <f t="shared" si="16"/>
        <v>5.0000000000000002E-5</v>
      </c>
      <c r="AC17" s="61">
        <f t="shared" si="9"/>
        <v>33500000.000000004</v>
      </c>
      <c r="AD17" s="61">
        <f t="shared" si="10"/>
        <v>5211078.7172011677</v>
      </c>
      <c r="AE17" s="2">
        <f t="shared" si="11"/>
        <v>-55174.000000000007</v>
      </c>
      <c r="AF17" s="62">
        <f t="shared" si="17"/>
        <v>9.9512220645360909E-3</v>
      </c>
      <c r="AG17" s="65">
        <f t="shared" si="18"/>
        <v>-0.16550581063770525</v>
      </c>
      <c r="AI17" s="4">
        <f>5*AI16</f>
        <v>50</v>
      </c>
      <c r="AJ17" s="61">
        <f t="shared" si="19"/>
        <v>5.0000000000000002E-5</v>
      </c>
      <c r="AK17" s="61">
        <f t="shared" si="20"/>
        <v>26055555.555555552</v>
      </c>
      <c r="AL17" s="61">
        <f t="shared" si="21"/>
        <v>817283.95061728358</v>
      </c>
      <c r="AM17" s="2">
        <f t="shared" si="22"/>
        <v>-55174.000000000007</v>
      </c>
      <c r="AN17" s="62">
        <f t="shared" si="25"/>
        <v>3.2932600685668563E-2</v>
      </c>
      <c r="AO17" s="65">
        <f t="shared" si="23"/>
        <v>-6.4299575336225295E-2</v>
      </c>
    </row>
    <row r="18" spans="1:41" x14ac:dyDescent="0.3">
      <c r="B18" s="12" t="s">
        <v>36</v>
      </c>
      <c r="C18" s="103" t="s">
        <v>37</v>
      </c>
      <c r="E18" s="13"/>
      <c r="H18" s="4">
        <f>10*H16</f>
        <v>100</v>
      </c>
      <c r="I18" s="61">
        <f t="shared" si="12"/>
        <v>1E-4</v>
      </c>
      <c r="J18" s="61">
        <f t="shared" si="0"/>
        <v>39083333.333333336</v>
      </c>
      <c r="K18" s="61">
        <f t="shared" si="1"/>
        <v>38616666.666666664</v>
      </c>
      <c r="L18" s="2">
        <f t="shared" si="2"/>
        <v>-55174.000000000007</v>
      </c>
      <c r="M18" s="62">
        <f t="shared" si="13"/>
        <v>1.42670125493134E-3</v>
      </c>
      <c r="N18" s="61">
        <f t="shared" si="14"/>
        <v>-0.98948640274746857</v>
      </c>
      <c r="O18" s="63">
        <f t="shared" si="3"/>
        <v>1.9131039784873551E-2</v>
      </c>
      <c r="P18" s="62">
        <f t="shared" si="4"/>
        <v>5.239251019352012E-2</v>
      </c>
      <c r="Q18" s="64">
        <f t="shared" si="5"/>
        <v>0.10478502038704024</v>
      </c>
      <c r="S18" s="4">
        <f>10*S16</f>
        <v>100</v>
      </c>
      <c r="T18" s="61">
        <f>T16*10</f>
        <v>9.9999999999999991E-5</v>
      </c>
      <c r="U18" s="61">
        <f t="shared" si="6"/>
        <v>23450000.000000004</v>
      </c>
      <c r="V18" s="61">
        <f t="shared" si="7"/>
        <v>5958000</v>
      </c>
      <c r="W18" s="2">
        <f t="shared" si="8"/>
        <v>-55174.000000000007</v>
      </c>
      <c r="X18" s="62">
        <f t="shared" si="24"/>
        <v>8.945530701100126E-3</v>
      </c>
      <c r="Y18" s="65">
        <f t="shared" si="15"/>
        <v>-0.2630180253706097</v>
      </c>
      <c r="Z18" s="61"/>
      <c r="AA18" s="4">
        <f>10*AA16</f>
        <v>100</v>
      </c>
      <c r="AB18" s="61">
        <f t="shared" si="16"/>
        <v>1E-4</v>
      </c>
      <c r="AC18" s="61">
        <f t="shared" si="9"/>
        <v>16750000.000000002</v>
      </c>
      <c r="AD18" s="61">
        <f t="shared" si="10"/>
        <v>1302769.6793002919</v>
      </c>
      <c r="AE18" s="2">
        <f t="shared" si="11"/>
        <v>-55174.000000000007</v>
      </c>
      <c r="AF18" s="62">
        <f t="shared" si="17"/>
        <v>3.0438815134575824E-2</v>
      </c>
      <c r="AG18" s="65">
        <f t="shared" si="18"/>
        <v>-0.1082161094211604</v>
      </c>
      <c r="AI18" s="4">
        <f>10*AI16</f>
        <v>100</v>
      </c>
      <c r="AJ18" s="61">
        <f t="shared" si="19"/>
        <v>1E-4</v>
      </c>
      <c r="AK18" s="61">
        <f t="shared" si="20"/>
        <v>13027777.777777776</v>
      </c>
      <c r="AL18" s="61">
        <f t="shared" si="21"/>
        <v>204320.9876543209</v>
      </c>
      <c r="AM18" s="2">
        <f t="shared" si="22"/>
        <v>-55174.000000000007</v>
      </c>
      <c r="AN18" s="62">
        <f t="shared" si="25"/>
        <v>5.7706692026418135E-2</v>
      </c>
      <c r="AO18" s="65">
        <f t="shared" si="23"/>
        <v>-7.3390179351696491E-2</v>
      </c>
    </row>
    <row r="19" spans="1:41" ht="14.5" thickBot="1" x14ac:dyDescent="0.35">
      <c r="B19" s="12" t="s">
        <v>38</v>
      </c>
      <c r="C19" s="104" t="s">
        <v>39</v>
      </c>
      <c r="D19" s="105">
        <v>9.9299999999999988E-5</v>
      </c>
      <c r="E19" s="60" t="s">
        <v>61</v>
      </c>
      <c r="H19" s="68">
        <f>5*H18</f>
        <v>500</v>
      </c>
      <c r="I19" s="69">
        <f t="shared" si="12"/>
        <v>5.0000000000000001E-4</v>
      </c>
      <c r="J19" s="69">
        <f t="shared" si="0"/>
        <v>7816666.666666667</v>
      </c>
      <c r="K19" s="69">
        <f t="shared" si="1"/>
        <v>1544666.6666666665</v>
      </c>
      <c r="L19" s="5">
        <f t="shared" si="2"/>
        <v>-55174.000000000007</v>
      </c>
      <c r="M19" s="70">
        <f t="shared" si="13"/>
        <v>3.0890318154698091E-2</v>
      </c>
      <c r="N19" s="69">
        <f t="shared" si="14"/>
        <v>-0.22850225845320551</v>
      </c>
      <c r="O19" s="71">
        <f t="shared" si="3"/>
        <v>4.277830543923021E-2</v>
      </c>
      <c r="P19" s="70">
        <f t="shared" si="4"/>
        <v>0.11715321430456165</v>
      </c>
      <c r="Q19" s="72">
        <f t="shared" si="5"/>
        <v>0.23430642860912329</v>
      </c>
      <c r="S19" s="68">
        <f>5*S18</f>
        <v>500</v>
      </c>
      <c r="T19" s="69">
        <f>T18*5</f>
        <v>5.0000000000000001E-4</v>
      </c>
      <c r="U19" s="69">
        <f t="shared" si="6"/>
        <v>4690000</v>
      </c>
      <c r="V19" s="69">
        <f t="shared" si="7"/>
        <v>238320</v>
      </c>
      <c r="W19" s="5">
        <f t="shared" si="8"/>
        <v>-55174.000000000007</v>
      </c>
      <c r="X19" s="70">
        <f t="shared" si="24"/>
        <v>8.5991616909478083E-2</v>
      </c>
      <c r="Y19" s="73">
        <f t="shared" si="15"/>
        <v>-0.13680611584338001</v>
      </c>
      <c r="Z19" s="61"/>
      <c r="AA19" s="68">
        <f>5*AA18</f>
        <v>500</v>
      </c>
      <c r="AB19" s="69">
        <f t="shared" si="16"/>
        <v>5.0000000000000001E-4</v>
      </c>
      <c r="AC19" s="69">
        <f t="shared" si="9"/>
        <v>3350000</v>
      </c>
      <c r="AD19" s="69">
        <f t="shared" si="10"/>
        <v>52110.787172011682</v>
      </c>
      <c r="AE19" s="5">
        <f t="shared" si="11"/>
        <v>-55174.000000000007</v>
      </c>
      <c r="AF19" s="70">
        <f t="shared" si="17"/>
        <v>0.12079265526911741</v>
      </c>
      <c r="AG19" s="73">
        <f t="shared" si="18"/>
        <v>-0.13634811412643433</v>
      </c>
      <c r="AI19" s="68">
        <f>5*AI18</f>
        <v>500</v>
      </c>
      <c r="AJ19" s="69">
        <f>AI19/1000000</f>
        <v>5.0000000000000001E-4</v>
      </c>
      <c r="AK19" s="69">
        <f>1.75*$D$10/(AJ19*$D$17)</f>
        <v>2605555.5555555555</v>
      </c>
      <c r="AL19" s="69">
        <f>150*(1-$D$17)*$D$19/((AJ19^2)*$D$17^3)</f>
        <v>8172.8395061728361</v>
      </c>
      <c r="AM19" s="5">
        <f t="shared" ref="AM19" si="26">-($D$9-$D$10)*$D$13</f>
        <v>-55174.000000000007</v>
      </c>
      <c r="AN19" s="70">
        <f>(-AL19+SQRT((AL19^2)-4*AK19*AM19))/(2*AK19)</f>
        <v>0.14395821965210262</v>
      </c>
      <c r="AO19" s="73">
        <f t="shared" si="23"/>
        <v>-0.14709491711715827</v>
      </c>
    </row>
    <row r="20" spans="1:41" ht="14.5" thickBot="1" x14ac:dyDescent="0.35">
      <c r="B20" s="12"/>
      <c r="C20" s="106" t="s">
        <v>40</v>
      </c>
      <c r="D20" s="110">
        <v>1.35E-4</v>
      </c>
      <c r="E20" s="66" t="s">
        <v>61</v>
      </c>
      <c r="M20" s="61"/>
      <c r="N20" s="61"/>
      <c r="O20" s="61"/>
      <c r="P20" s="61"/>
      <c r="Q20" s="61"/>
    </row>
    <row r="21" spans="1:41" x14ac:dyDescent="0.3">
      <c r="B21" s="12"/>
      <c r="C21" s="108" t="s">
        <v>41</v>
      </c>
      <c r="D21" s="109">
        <v>1.6139999999999999E-4</v>
      </c>
      <c r="E21" s="67" t="s">
        <v>61</v>
      </c>
      <c r="H21" s="74" t="s">
        <v>47</v>
      </c>
      <c r="I21" s="75"/>
      <c r="J21" s="75"/>
      <c r="K21" s="75"/>
      <c r="L21" s="75"/>
      <c r="M21" s="76"/>
      <c r="N21" s="76"/>
      <c r="O21" s="76"/>
      <c r="P21" s="76"/>
      <c r="Q21" s="77"/>
      <c r="S21" s="74" t="s">
        <v>48</v>
      </c>
      <c r="T21" s="75"/>
      <c r="U21" s="75"/>
      <c r="V21" s="75"/>
      <c r="W21" s="75"/>
      <c r="X21" s="76"/>
      <c r="Y21" s="77"/>
      <c r="Z21" s="61"/>
      <c r="AA21" s="74" t="s">
        <v>49</v>
      </c>
      <c r="AB21" s="75"/>
      <c r="AC21" s="75"/>
      <c r="AD21" s="75"/>
      <c r="AE21" s="75"/>
      <c r="AF21" s="76"/>
      <c r="AG21" s="77"/>
      <c r="AI21" s="74" t="s">
        <v>88</v>
      </c>
      <c r="AJ21" s="75"/>
      <c r="AK21" s="75"/>
      <c r="AL21" s="75"/>
      <c r="AM21" s="75"/>
      <c r="AN21" s="76"/>
      <c r="AO21" s="77"/>
    </row>
    <row r="22" spans="1:41" x14ac:dyDescent="0.3">
      <c r="B22" s="12" t="s">
        <v>42</v>
      </c>
      <c r="C22" s="103" t="s">
        <v>43</v>
      </c>
      <c r="E22" s="13"/>
      <c r="H22" s="12" t="s">
        <v>25</v>
      </c>
      <c r="I22" s="1" t="s">
        <v>26</v>
      </c>
      <c r="J22" s="49" t="s">
        <v>27</v>
      </c>
      <c r="K22" s="49" t="s">
        <v>28</v>
      </c>
      <c r="L22" s="49" t="s">
        <v>29</v>
      </c>
      <c r="M22" s="57" t="s">
        <v>30</v>
      </c>
      <c r="N22" s="49" t="s">
        <v>30</v>
      </c>
      <c r="O22" s="58" t="s">
        <v>31</v>
      </c>
      <c r="P22" s="57" t="s">
        <v>31</v>
      </c>
      <c r="Q22" s="59" t="s">
        <v>31</v>
      </c>
      <c r="S22" s="12" t="s">
        <v>25</v>
      </c>
      <c r="T22" s="1" t="s">
        <v>26</v>
      </c>
      <c r="U22" s="49" t="s">
        <v>27</v>
      </c>
      <c r="V22" s="49" t="s">
        <v>28</v>
      </c>
      <c r="W22" s="49" t="s">
        <v>29</v>
      </c>
      <c r="X22" s="57" t="s">
        <v>30</v>
      </c>
      <c r="Y22" s="50" t="s">
        <v>30</v>
      </c>
      <c r="Z22" s="10"/>
      <c r="AA22" s="12" t="s">
        <v>25</v>
      </c>
      <c r="AB22" s="1" t="s">
        <v>26</v>
      </c>
      <c r="AC22" s="49" t="s">
        <v>27</v>
      </c>
      <c r="AD22" s="49" t="s">
        <v>28</v>
      </c>
      <c r="AE22" s="49" t="s">
        <v>29</v>
      </c>
      <c r="AF22" s="49" t="s">
        <v>30</v>
      </c>
      <c r="AG22" s="50" t="s">
        <v>30</v>
      </c>
      <c r="AI22" s="12" t="s">
        <v>25</v>
      </c>
      <c r="AJ22" s="1" t="s">
        <v>26</v>
      </c>
      <c r="AK22" s="49" t="s">
        <v>27</v>
      </c>
      <c r="AL22" s="49" t="s">
        <v>28</v>
      </c>
      <c r="AM22" s="49" t="s">
        <v>29</v>
      </c>
      <c r="AN22" s="49" t="s">
        <v>30</v>
      </c>
      <c r="AO22" s="50" t="s">
        <v>30</v>
      </c>
    </row>
    <row r="23" spans="1:41" x14ac:dyDescent="0.3">
      <c r="B23" s="12" t="s">
        <v>44</v>
      </c>
      <c r="C23" s="103" t="s">
        <v>45</v>
      </c>
      <c r="D23" s="2">
        <v>340</v>
      </c>
      <c r="E23" s="13" t="s">
        <v>46</v>
      </c>
      <c r="H23" s="4">
        <v>0.01</v>
      </c>
      <c r="I23" s="61">
        <f>H23/1000000</f>
        <v>1E-8</v>
      </c>
      <c r="J23" s="61">
        <f t="shared" ref="J23:J32" si="27">1.75*$D$11/(I23*$D$14)</f>
        <v>463166666666.66669</v>
      </c>
      <c r="K23" s="61">
        <f t="shared" ref="K23:K32" si="28">150*(1-$D$14)*$D$20/((I23^2)*$D$14^3)</f>
        <v>5250000000000000</v>
      </c>
      <c r="L23" s="2">
        <f t="shared" ref="L23:L32" si="29">-($D$9-$D$11)*$D$13</f>
        <v>-53958.8</v>
      </c>
      <c r="M23" s="62">
        <f>(-K23+SQRT((K23^2)-4*J23*L23))/(2*J23)</f>
        <v>9.7157250809643759E-12</v>
      </c>
      <c r="N23" s="61">
        <f>(-K23-SQRT((K23^2)-4*J23*L23))/(2*J23)</f>
        <v>-11335.012594458447</v>
      </c>
      <c r="O23" s="63">
        <f t="shared" ref="O23:O32" si="30">SQRT(4*I23*(-L23)/(3*$D$11*$O$7))</f>
        <v>1.7379193997163502E-4</v>
      </c>
      <c r="P23" s="62">
        <f t="shared" ref="P23:P32" si="31">SQRT(4*I23*(-L23)/(3*$D$11*$P$7))</f>
        <v>4.7594882917524124E-4</v>
      </c>
      <c r="Q23" s="64">
        <f t="shared" ref="Q23:Q32" si="32">SQRT(4*I23*(-L23)/(3*$D$11*$Q$7))</f>
        <v>9.5189765835048247E-4</v>
      </c>
      <c r="S23" s="4">
        <v>0.01</v>
      </c>
      <c r="T23" s="61">
        <f>S23/1000000</f>
        <v>1E-8</v>
      </c>
      <c r="U23" s="61">
        <f t="shared" ref="U23:U32" si="33">1.75*$D$11/(T23*$D$15)</f>
        <v>277900000000</v>
      </c>
      <c r="V23" s="61">
        <f t="shared" ref="V23:V32" si="34">150*(1-$D$15)*$D$20/((T23^2)*$D$15^3)</f>
        <v>810000000000000</v>
      </c>
      <c r="W23" s="2">
        <f t="shared" ref="W23:W32" si="35">-($D$9-$D$11)*$D$13</f>
        <v>-53958.8</v>
      </c>
      <c r="X23" s="62">
        <f>(-V23+SQRT((V23^2)-4*U23*W23))/(2*U23)</f>
        <v>6.6570708888089247E-11</v>
      </c>
      <c r="Y23" s="65">
        <f>(-V23-SQRT((V23^2)-4*U23*W23))/(2*U23)</f>
        <v>-2914.7175242893791</v>
      </c>
      <c r="Z23" s="61"/>
      <c r="AA23" s="4">
        <v>0.01</v>
      </c>
      <c r="AB23" s="61">
        <f>AA23/1000000</f>
        <v>1E-8</v>
      </c>
      <c r="AC23" s="61">
        <f t="shared" ref="AC23:AC32" si="36">1.75*$D$11/(AB23*$D$16)</f>
        <v>198500000000</v>
      </c>
      <c r="AD23" s="61">
        <f t="shared" ref="AD23:AD32" si="37">150*(1-$D$16)*$D$20/((AB23^2)*$D$16^3)</f>
        <v>177113702623906.75</v>
      </c>
      <c r="AE23" s="2">
        <f t="shared" ref="AE23:AE32" si="38">-($D$9-$D$11)*$D$13</f>
        <v>-53958.8</v>
      </c>
      <c r="AF23" s="62">
        <f>(-AD23+SQRT((AD23^2)-4*AC23*AE23))/(2*AC23)</f>
        <v>3.0462846347607053E-10</v>
      </c>
      <c r="AG23" s="65">
        <f>(-AD23-SQRT((AD23^2)-4*AC23*AE23))/(2*AC23)</f>
        <v>-892.26046661948226</v>
      </c>
      <c r="AI23" s="4">
        <v>0.01</v>
      </c>
      <c r="AJ23" s="61">
        <f>AI23/1000000</f>
        <v>1E-8</v>
      </c>
      <c r="AK23" s="61">
        <f>1.75*$D$11/(AJ23*$D$17)</f>
        <v>154388888888.88885</v>
      </c>
      <c r="AL23" s="61">
        <f>150*(1-$D$17)*$D$20/((AJ23^2)*$D$17^3)</f>
        <v>27777777777777.766</v>
      </c>
      <c r="AM23" s="2">
        <f>-($D$9-$D$11)*$D$13</f>
        <v>-53958.8</v>
      </c>
      <c r="AN23" s="62">
        <f>(-AL23+SQRT((AL23^2)-4*AK23*AM23))/(2*AK23)</f>
        <v>1.9425124820079169E-9</v>
      </c>
      <c r="AO23" s="65">
        <f>(-AL23-SQRT((AL23^2)-4*AK23*AM23))/(2*AK23)</f>
        <v>-179.9208348346161</v>
      </c>
    </row>
    <row r="24" spans="1:41" x14ac:dyDescent="0.3">
      <c r="B24" s="12" t="s">
        <v>50</v>
      </c>
      <c r="C24" s="103" t="s">
        <v>51</v>
      </c>
      <c r="D24" s="2">
        <v>30</v>
      </c>
      <c r="E24" s="13" t="s">
        <v>52</v>
      </c>
      <c r="H24" s="4">
        <f>5*H23</f>
        <v>0.05</v>
      </c>
      <c r="I24" s="61">
        <f t="shared" ref="I24:I32" si="39">H24/1000000</f>
        <v>5.0000000000000004E-8</v>
      </c>
      <c r="J24" s="61">
        <f t="shared" si="27"/>
        <v>92633333333.333328</v>
      </c>
      <c r="K24" s="61">
        <f t="shared" si="28"/>
        <v>209999999999999.97</v>
      </c>
      <c r="L24" s="2">
        <f t="shared" si="29"/>
        <v>-53958.8</v>
      </c>
      <c r="M24" s="62">
        <f t="shared" ref="M24:M32" si="40">(-K24+SQRT((K24^2)-4*J24*L24))/(2*J24)</f>
        <v>2.5689321698452683E-10</v>
      </c>
      <c r="N24" s="61">
        <f t="shared" ref="N24:N32" si="41">(-K24-SQRT((K24^2)-4*J24*L24))/(2*J24)</f>
        <v>-2267.002518891944</v>
      </c>
      <c r="O24" s="63">
        <f t="shared" si="30"/>
        <v>3.8861059171813885E-4</v>
      </c>
      <c r="P24" s="62">
        <f t="shared" si="31"/>
        <v>1.0642539358472747E-3</v>
      </c>
      <c r="Q24" s="64">
        <f t="shared" si="32"/>
        <v>2.1285078716945494E-3</v>
      </c>
      <c r="S24" s="4">
        <f>5*S23</f>
        <v>0.05</v>
      </c>
      <c r="T24" s="61">
        <f>T23*5</f>
        <v>4.9999999999999998E-8</v>
      </c>
      <c r="U24" s="61">
        <f t="shared" si="33"/>
        <v>55580000000</v>
      </c>
      <c r="V24" s="61">
        <f t="shared" si="34"/>
        <v>32400000000000.008</v>
      </c>
      <c r="W24" s="2">
        <f t="shared" si="35"/>
        <v>-53958.8</v>
      </c>
      <c r="X24" s="62">
        <f t="shared" ref="X24:X32" si="42">(-V24+SQRT((V24^2)-4*U24*W24))/(2*U24)</f>
        <v>1.6653922274199351E-9</v>
      </c>
      <c r="Y24" s="65">
        <f t="shared" ref="Y24:Y32" si="43">(-V24-SQRT((V24^2)-4*U24*W24))/(2*U24)</f>
        <v>-582.94350485952805</v>
      </c>
      <c r="Z24" s="61"/>
      <c r="AA24" s="4">
        <f>5*AA23</f>
        <v>0.05</v>
      </c>
      <c r="AB24" s="61">
        <f t="shared" ref="AB24:AB32" si="44">AA24/1000000</f>
        <v>5.0000000000000004E-8</v>
      </c>
      <c r="AC24" s="61">
        <f t="shared" si="36"/>
        <v>39700000000</v>
      </c>
      <c r="AD24" s="61">
        <f t="shared" si="37"/>
        <v>7084548104956.2705</v>
      </c>
      <c r="AE24" s="2">
        <f t="shared" si="38"/>
        <v>-53958.8</v>
      </c>
      <c r="AF24" s="62">
        <f t="shared" ref="AF24:AF32" si="45">(-AD24+SQRT((AD24^2)-4*AC24*AE24))/(2*AC24)</f>
        <v>7.6164126456234256E-9</v>
      </c>
      <c r="AG24" s="65">
        <f t="shared" ref="AG24:AG32" si="46">(-AD24-SQRT((AD24^2)-4*AC24*AE24))/(2*AC24)</f>
        <v>-178.45209333145195</v>
      </c>
      <c r="AI24" s="4">
        <f>5*AI23</f>
        <v>0.05</v>
      </c>
      <c r="AJ24" s="61">
        <f t="shared" ref="AJ24:AJ32" si="47">AI24/1000000</f>
        <v>5.0000000000000004E-8</v>
      </c>
      <c r="AK24" s="61">
        <f t="shared" ref="AK24:AK32" si="48">1.75*$D$11/(AJ24*$D$17)</f>
        <v>30877777777.777775</v>
      </c>
      <c r="AL24" s="61">
        <f t="shared" ref="AL24:AL31" si="49">150*(1-$D$17)*$D$20/((AJ24^2)*$D$17^3)</f>
        <v>1111111111111.1106</v>
      </c>
      <c r="AM24" s="2">
        <f t="shared" ref="AM24:AM32" si="50">-($D$9-$D$11)*$D$13</f>
        <v>-53958.8</v>
      </c>
      <c r="AN24" s="62">
        <f t="shared" ref="AN24:AN32" si="51">(-AL24+SQRT((AL24^2)-4*AK24*AM24))/(2*AK24)</f>
        <v>4.8562918790341631E-8</v>
      </c>
      <c r="AO24" s="65">
        <f t="shared" ref="AO24:AO32" si="52">(-AL24-SQRT((AL24^2)-4*AK24*AM24))/(2*AK24)</f>
        <v>-35.984167015097626</v>
      </c>
    </row>
    <row r="25" spans="1:41" x14ac:dyDescent="0.3">
      <c r="B25" s="12"/>
      <c r="E25" s="13"/>
      <c r="H25" s="4">
        <f>10*H23</f>
        <v>0.1</v>
      </c>
      <c r="I25" s="61">
        <f t="shared" si="39"/>
        <v>1.0000000000000001E-7</v>
      </c>
      <c r="J25" s="61">
        <f t="shared" si="27"/>
        <v>46316666666.666664</v>
      </c>
      <c r="K25" s="61">
        <f t="shared" si="28"/>
        <v>52499999999999.992</v>
      </c>
      <c r="L25" s="2">
        <f t="shared" si="29"/>
        <v>-53958.8</v>
      </c>
      <c r="M25" s="62">
        <f t="shared" si="40"/>
        <v>1.0277415437207629E-9</v>
      </c>
      <c r="N25" s="61">
        <f t="shared" si="41"/>
        <v>-1133.5012594468715</v>
      </c>
      <c r="O25" s="63">
        <f t="shared" si="30"/>
        <v>5.4957836928962547E-4</v>
      </c>
      <c r="P25" s="62">
        <f t="shared" si="31"/>
        <v>1.5050823498841616E-3</v>
      </c>
      <c r="Q25" s="64">
        <f t="shared" si="32"/>
        <v>3.0101646997683232E-3</v>
      </c>
      <c r="S25" s="4">
        <f>10*S23</f>
        <v>0.1</v>
      </c>
      <c r="T25" s="61">
        <f>T23*10</f>
        <v>9.9999999999999995E-8</v>
      </c>
      <c r="U25" s="61">
        <f t="shared" si="33"/>
        <v>27790000000</v>
      </c>
      <c r="V25" s="61">
        <f t="shared" si="34"/>
        <v>8100000000000.002</v>
      </c>
      <c r="W25" s="2">
        <f t="shared" si="35"/>
        <v>-53958.8</v>
      </c>
      <c r="X25" s="62">
        <f t="shared" si="42"/>
        <v>6.6615864800737675E-9</v>
      </c>
      <c r="Y25" s="65">
        <f t="shared" si="43"/>
        <v>-291.47175243559292</v>
      </c>
      <c r="Z25" s="61"/>
      <c r="AA25" s="4">
        <f>10*AA23</f>
        <v>0.1</v>
      </c>
      <c r="AB25" s="61">
        <f t="shared" si="44"/>
        <v>1.0000000000000001E-7</v>
      </c>
      <c r="AC25" s="61">
        <f t="shared" si="36"/>
        <v>19850000000</v>
      </c>
      <c r="AD25" s="61">
        <f t="shared" si="37"/>
        <v>1771137026239.0676</v>
      </c>
      <c r="AE25" s="2">
        <f t="shared" si="38"/>
        <v>-53958.8</v>
      </c>
      <c r="AF25" s="62">
        <f t="shared" si="45"/>
        <v>3.0465625983942065E-8</v>
      </c>
      <c r="AG25" s="65">
        <f t="shared" si="46"/>
        <v>-89.226046692383392</v>
      </c>
      <c r="AI25" s="4">
        <f>10*AI23</f>
        <v>0.1</v>
      </c>
      <c r="AJ25" s="61">
        <f t="shared" si="47"/>
        <v>1.0000000000000001E-7</v>
      </c>
      <c r="AK25" s="61">
        <f t="shared" si="48"/>
        <v>15438888888.888887</v>
      </c>
      <c r="AL25" s="61">
        <f t="shared" si="49"/>
        <v>277777777777.77765</v>
      </c>
      <c r="AM25" s="2">
        <f t="shared" si="50"/>
        <v>-53958.8</v>
      </c>
      <c r="AN25" s="62">
        <f t="shared" si="51"/>
        <v>1.9425167911470516E-7</v>
      </c>
      <c r="AO25" s="65">
        <f t="shared" si="52"/>
        <v>-17.992083677519034</v>
      </c>
    </row>
    <row r="26" spans="1:41" x14ac:dyDescent="0.3">
      <c r="B26" s="12" t="s">
        <v>60</v>
      </c>
      <c r="C26" s="2">
        <v>0</v>
      </c>
      <c r="D26" s="2" t="s">
        <v>59</v>
      </c>
      <c r="E26" s="13"/>
      <c r="H26" s="4">
        <f>5*H25</f>
        <v>0.5</v>
      </c>
      <c r="I26" s="61">
        <f t="shared" si="39"/>
        <v>4.9999999999999998E-7</v>
      </c>
      <c r="J26" s="61">
        <f t="shared" si="27"/>
        <v>9263333333.333334</v>
      </c>
      <c r="K26" s="61">
        <f t="shared" si="28"/>
        <v>2100000000000.0002</v>
      </c>
      <c r="L26" s="2">
        <f t="shared" si="29"/>
        <v>-53958.8</v>
      </c>
      <c r="M26" s="62">
        <f t="shared" si="40"/>
        <v>2.5694658705638266E-8</v>
      </c>
      <c r="N26" s="61">
        <f t="shared" si="41"/>
        <v>-226.70025191486346</v>
      </c>
      <c r="O26" s="63">
        <f t="shared" si="30"/>
        <v>1.2288945926950854E-3</v>
      </c>
      <c r="P26" s="62">
        <f t="shared" si="31"/>
        <v>3.365466446076108E-3</v>
      </c>
      <c r="Q26" s="64">
        <f t="shared" si="32"/>
        <v>6.7309328921522161E-3</v>
      </c>
      <c r="S26" s="4">
        <f>5*S25</f>
        <v>0.5</v>
      </c>
      <c r="T26" s="61">
        <f>T25*5</f>
        <v>4.9999999999999998E-7</v>
      </c>
      <c r="U26" s="61">
        <f t="shared" si="33"/>
        <v>5558000000</v>
      </c>
      <c r="V26" s="61">
        <f t="shared" si="34"/>
        <v>324000000000</v>
      </c>
      <c r="W26" s="2">
        <f t="shared" si="35"/>
        <v>-53958.8</v>
      </c>
      <c r="X26" s="62">
        <f t="shared" si="42"/>
        <v>1.6653950826089647E-7</v>
      </c>
      <c r="Y26" s="65">
        <f t="shared" si="43"/>
        <v>-58.294350652325761</v>
      </c>
      <c r="Z26" s="61"/>
      <c r="AA26" s="4">
        <f>5*AA25</f>
        <v>0.5</v>
      </c>
      <c r="AB26" s="61">
        <f t="shared" si="44"/>
        <v>4.9999999999999998E-7</v>
      </c>
      <c r="AC26" s="61">
        <f t="shared" si="36"/>
        <v>3970000000</v>
      </c>
      <c r="AD26" s="61">
        <f t="shared" si="37"/>
        <v>70845481049.562714</v>
      </c>
      <c r="AE26" s="2">
        <f t="shared" si="38"/>
        <v>-53958.8</v>
      </c>
      <c r="AF26" s="62">
        <f t="shared" si="45"/>
        <v>7.6164064383326611E-7</v>
      </c>
      <c r="AG26" s="65">
        <f t="shared" si="46"/>
        <v>-17.845210094024196</v>
      </c>
      <c r="AI26" s="4">
        <f>5*AI25</f>
        <v>0.5</v>
      </c>
      <c r="AJ26" s="61">
        <f t="shared" si="47"/>
        <v>4.9999999999999998E-7</v>
      </c>
      <c r="AK26" s="61">
        <f t="shared" si="48"/>
        <v>3087777777.7777781</v>
      </c>
      <c r="AL26" s="61">
        <f t="shared" si="49"/>
        <v>11111111111.111107</v>
      </c>
      <c r="AM26" s="2">
        <f t="shared" si="50"/>
        <v>-53958.8</v>
      </c>
      <c r="AN26" s="62">
        <f t="shared" si="51"/>
        <v>4.8562854462109175E-6</v>
      </c>
      <c r="AO26" s="65">
        <f t="shared" si="52"/>
        <v>-3.598421552938917</v>
      </c>
    </row>
    <row r="27" spans="1:41" x14ac:dyDescent="0.3">
      <c r="B27" s="4"/>
      <c r="C27" s="2">
        <v>1</v>
      </c>
      <c r="D27" s="2" t="s">
        <v>59</v>
      </c>
      <c r="E27" s="13"/>
      <c r="H27" s="4">
        <f>10*H25</f>
        <v>1</v>
      </c>
      <c r="I27" s="61">
        <f t="shared" si="39"/>
        <v>9.9999999999999995E-7</v>
      </c>
      <c r="J27" s="61">
        <f t="shared" si="27"/>
        <v>4631666666.666667</v>
      </c>
      <c r="K27" s="61">
        <f t="shared" si="28"/>
        <v>525000000000.00006</v>
      </c>
      <c r="L27" s="2">
        <f t="shared" si="29"/>
        <v>-53958.8</v>
      </c>
      <c r="M27" s="62">
        <f t="shared" si="40"/>
        <v>1.0277866117814412E-7</v>
      </c>
      <c r="N27" s="61">
        <f t="shared" si="41"/>
        <v>-113.35012604736305</v>
      </c>
      <c r="O27" s="63">
        <f t="shared" si="30"/>
        <v>1.7379193997163504E-3</v>
      </c>
      <c r="P27" s="62">
        <f t="shared" si="31"/>
        <v>4.7594882917524122E-3</v>
      </c>
      <c r="Q27" s="64">
        <f t="shared" si="32"/>
        <v>9.5189765835048245E-3</v>
      </c>
      <c r="S27" s="4">
        <f>10*S25</f>
        <v>1</v>
      </c>
      <c r="T27" s="61">
        <f>T25*10</f>
        <v>9.9999999999999995E-7</v>
      </c>
      <c r="U27" s="61">
        <f t="shared" si="33"/>
        <v>2779000000</v>
      </c>
      <c r="V27" s="61">
        <f t="shared" si="34"/>
        <v>81000000000</v>
      </c>
      <c r="W27" s="2">
        <f t="shared" si="35"/>
        <v>-53958.8</v>
      </c>
      <c r="X27" s="62">
        <f t="shared" si="42"/>
        <v>6.6615800833521922E-7</v>
      </c>
      <c r="Y27" s="65">
        <f t="shared" si="43"/>
        <v>-29.147175909051139</v>
      </c>
      <c r="Z27" s="61"/>
      <c r="AA27" s="4">
        <f>10*AA25</f>
        <v>1</v>
      </c>
      <c r="AB27" s="61">
        <f t="shared" si="44"/>
        <v>9.9999999999999995E-7</v>
      </c>
      <c r="AC27" s="61">
        <f t="shared" si="36"/>
        <v>1985000000</v>
      </c>
      <c r="AD27" s="61">
        <f t="shared" si="37"/>
        <v>17711370262.390678</v>
      </c>
      <c r="AE27" s="2">
        <f t="shared" si="38"/>
        <v>-53958.8</v>
      </c>
      <c r="AF27" s="62">
        <f t="shared" si="45"/>
        <v>3.0465616596135446E-6</v>
      </c>
      <c r="AG27" s="65">
        <f t="shared" si="46"/>
        <v>-8.9226077127534378</v>
      </c>
      <c r="AI27" s="4">
        <f>10*AI25</f>
        <v>1</v>
      </c>
      <c r="AJ27" s="61">
        <f t="shared" si="47"/>
        <v>9.9999999999999995E-7</v>
      </c>
      <c r="AK27" s="61">
        <f t="shared" si="48"/>
        <v>1543888888.8888891</v>
      </c>
      <c r="AL27" s="61">
        <f t="shared" si="49"/>
        <v>2777777777.7777767</v>
      </c>
      <c r="AM27" s="2">
        <f t="shared" si="50"/>
        <v>-53958.8</v>
      </c>
      <c r="AN27" s="62">
        <f t="shared" si="51"/>
        <v>1.9424958280592179E-5</v>
      </c>
      <c r="AO27" s="65">
        <f t="shared" si="52"/>
        <v>-1.7992277732850162</v>
      </c>
    </row>
    <row r="28" spans="1:41" ht="14" customHeight="1" thickBot="1" x14ac:dyDescent="0.35">
      <c r="B28" s="68"/>
      <c r="C28" s="5">
        <v>2</v>
      </c>
      <c r="D28" s="5" t="s">
        <v>59</v>
      </c>
      <c r="E28" s="78"/>
      <c r="H28" s="4">
        <f>5*H27</f>
        <v>5</v>
      </c>
      <c r="I28" s="61">
        <f t="shared" si="39"/>
        <v>5.0000000000000004E-6</v>
      </c>
      <c r="J28" s="61">
        <f t="shared" si="27"/>
        <v>926333333.33333325</v>
      </c>
      <c r="K28" s="61">
        <f t="shared" si="28"/>
        <v>20999999999.999996</v>
      </c>
      <c r="L28" s="2">
        <f t="shared" si="29"/>
        <v>-53958.8</v>
      </c>
      <c r="M28" s="62">
        <f t="shared" si="40"/>
        <v>2.569466375026312E-6</v>
      </c>
      <c r="N28" s="61">
        <f t="shared" si="41"/>
        <v>-22.670027758383252</v>
      </c>
      <c r="O28" s="63">
        <f t="shared" si="30"/>
        <v>3.8861059171813885E-3</v>
      </c>
      <c r="P28" s="62">
        <f t="shared" si="31"/>
        <v>1.0642539358472746E-2</v>
      </c>
      <c r="Q28" s="64">
        <f t="shared" si="32"/>
        <v>2.1285078716945492E-2</v>
      </c>
      <c r="S28" s="4">
        <f>5*S27</f>
        <v>5</v>
      </c>
      <c r="T28" s="61">
        <f>T27*5</f>
        <v>4.9999999999999996E-6</v>
      </c>
      <c r="U28" s="61">
        <f t="shared" si="33"/>
        <v>555800000</v>
      </c>
      <c r="V28" s="61">
        <f t="shared" si="34"/>
        <v>3240000000.000001</v>
      </c>
      <c r="W28" s="2">
        <f t="shared" si="35"/>
        <v>-53958.8</v>
      </c>
      <c r="X28" s="62">
        <f t="shared" si="42"/>
        <v>1.6653903039422297E-5</v>
      </c>
      <c r="Y28" s="65">
        <f t="shared" si="43"/>
        <v>-5.8294517024816663</v>
      </c>
      <c r="Z28" s="61"/>
      <c r="AA28" s="4">
        <f>5*AA27</f>
        <v>5</v>
      </c>
      <c r="AB28" s="61">
        <f t="shared" si="44"/>
        <v>5.0000000000000004E-6</v>
      </c>
      <c r="AC28" s="61">
        <f t="shared" si="36"/>
        <v>397000000</v>
      </c>
      <c r="AD28" s="61">
        <f t="shared" si="37"/>
        <v>708454810.49562693</v>
      </c>
      <c r="AE28" s="2">
        <f t="shared" si="38"/>
        <v>-53958.8</v>
      </c>
      <c r="AF28" s="62">
        <f t="shared" si="45"/>
        <v>7.6160817054266898E-5</v>
      </c>
      <c r="AG28" s="65">
        <f t="shared" si="46"/>
        <v>-1.7845970940554094</v>
      </c>
      <c r="AI28" s="4">
        <f>5*AI27</f>
        <v>5</v>
      </c>
      <c r="AJ28" s="61">
        <f t="shared" si="47"/>
        <v>5.0000000000000004E-6</v>
      </c>
      <c r="AK28" s="61">
        <f t="shared" si="48"/>
        <v>308777777.77777779</v>
      </c>
      <c r="AL28" s="61">
        <f t="shared" si="49"/>
        <v>111111111.11111104</v>
      </c>
      <c r="AM28" s="2">
        <f t="shared" si="50"/>
        <v>-53958.8</v>
      </c>
      <c r="AN28" s="62">
        <f t="shared" si="51"/>
        <v>4.8497557556257857E-4</v>
      </c>
      <c r="AO28" s="65">
        <f t="shared" si="52"/>
        <v>-0.36032664524090963</v>
      </c>
    </row>
    <row r="29" spans="1:41" ht="14" customHeight="1" x14ac:dyDescent="0.3">
      <c r="H29" s="4">
        <f>10*H27</f>
        <v>10</v>
      </c>
      <c r="I29" s="61">
        <f t="shared" si="39"/>
        <v>1.0000000000000001E-5</v>
      </c>
      <c r="J29" s="61">
        <f t="shared" si="27"/>
        <v>463166666.66666663</v>
      </c>
      <c r="K29" s="61">
        <f t="shared" si="28"/>
        <v>5249999999.999999</v>
      </c>
      <c r="L29" s="2">
        <f t="shared" si="29"/>
        <v>-53958.8</v>
      </c>
      <c r="M29" s="62">
        <f t="shared" si="40"/>
        <v>1.0277857347373784E-5</v>
      </c>
      <c r="N29" s="61">
        <f t="shared" si="41"/>
        <v>-11.335022872315786</v>
      </c>
      <c r="O29" s="63">
        <f t="shared" si="30"/>
        <v>5.4957836928962549E-3</v>
      </c>
      <c r="P29" s="62">
        <f t="shared" si="31"/>
        <v>1.5050823498841615E-2</v>
      </c>
      <c r="Q29" s="64">
        <f t="shared" si="32"/>
        <v>3.010164699768323E-2</v>
      </c>
      <c r="S29" s="4">
        <f>10*S27</f>
        <v>10</v>
      </c>
      <c r="T29" s="61">
        <f>T27*10</f>
        <v>9.9999999999999991E-6</v>
      </c>
      <c r="U29" s="61">
        <f t="shared" si="33"/>
        <v>277900000</v>
      </c>
      <c r="V29" s="61">
        <f t="shared" si="34"/>
        <v>810000000.00000024</v>
      </c>
      <c r="W29" s="2">
        <f t="shared" si="35"/>
        <v>-53958.8</v>
      </c>
      <c r="X29" s="62">
        <f t="shared" si="42"/>
        <v>6.6614280036131487E-5</v>
      </c>
      <c r="Y29" s="65">
        <f t="shared" si="43"/>
        <v>-2.9147841385693498</v>
      </c>
      <c r="Z29" s="61"/>
      <c r="AA29" s="4">
        <f>10*AA27</f>
        <v>10</v>
      </c>
      <c r="AB29" s="61">
        <f t="shared" si="44"/>
        <v>1.0000000000000001E-5</v>
      </c>
      <c r="AC29" s="61">
        <f t="shared" si="36"/>
        <v>198500000</v>
      </c>
      <c r="AD29" s="61">
        <f t="shared" si="37"/>
        <v>177113702.62390673</v>
      </c>
      <c r="AE29" s="2">
        <f t="shared" si="38"/>
        <v>-53958.8</v>
      </c>
      <c r="AF29" s="62">
        <f t="shared" si="45"/>
        <v>3.0455231812198457E-4</v>
      </c>
      <c r="AG29" s="65">
        <f t="shared" si="46"/>
        <v>-0.89256501893729945</v>
      </c>
      <c r="AI29" s="4">
        <f>10*AI27</f>
        <v>10</v>
      </c>
      <c r="AJ29" s="61">
        <f t="shared" si="47"/>
        <v>1.0000000000000001E-5</v>
      </c>
      <c r="AK29" s="61">
        <f t="shared" si="48"/>
        <v>154388888.8888889</v>
      </c>
      <c r="AL29" s="61">
        <f t="shared" si="49"/>
        <v>27777777.777777761</v>
      </c>
      <c r="AM29" s="2">
        <f t="shared" si="50"/>
        <v>-53958.8</v>
      </c>
      <c r="AN29" s="62">
        <f t="shared" si="51"/>
        <v>1.9219853932003858E-3</v>
      </c>
      <c r="AO29" s="65">
        <f t="shared" si="52"/>
        <v>-0.18184282022587392</v>
      </c>
    </row>
    <row r="30" spans="1:41" ht="14" customHeight="1" x14ac:dyDescent="0.3">
      <c r="A30" s="1" t="s">
        <v>65</v>
      </c>
      <c r="H30" s="4">
        <f>5*H29</f>
        <v>50</v>
      </c>
      <c r="I30" s="61">
        <f t="shared" si="39"/>
        <v>5.0000000000000002E-5</v>
      </c>
      <c r="J30" s="61">
        <f t="shared" si="27"/>
        <v>92633333.333333328</v>
      </c>
      <c r="K30" s="61">
        <f t="shared" si="28"/>
        <v>210000000</v>
      </c>
      <c r="L30" s="2">
        <f t="shared" si="29"/>
        <v>-53958.8</v>
      </c>
      <c r="M30" s="62">
        <f t="shared" si="40"/>
        <v>2.569175504097067E-4</v>
      </c>
      <c r="N30" s="61">
        <f t="shared" si="41"/>
        <v>-2.2672594364420973</v>
      </c>
      <c r="O30" s="63">
        <f t="shared" si="30"/>
        <v>1.2288945926950854E-2</v>
      </c>
      <c r="P30" s="62">
        <f t="shared" si="31"/>
        <v>3.3654664460761083E-2</v>
      </c>
      <c r="Q30" s="64">
        <f t="shared" si="32"/>
        <v>6.7309328921522166E-2</v>
      </c>
      <c r="S30" s="4">
        <f>5*S29</f>
        <v>50</v>
      </c>
      <c r="T30" s="61">
        <f>T29*5</f>
        <v>4.9999999999999996E-5</v>
      </c>
      <c r="U30" s="61">
        <f t="shared" si="33"/>
        <v>55580000.000000007</v>
      </c>
      <c r="V30" s="61">
        <f t="shared" si="34"/>
        <v>32400000.000000007</v>
      </c>
      <c r="W30" s="2">
        <f t="shared" si="35"/>
        <v>-53958.8</v>
      </c>
      <c r="X30" s="62">
        <f t="shared" si="42"/>
        <v>1.660664233315626E-3</v>
      </c>
      <c r="Y30" s="65">
        <f t="shared" si="43"/>
        <v>-0.58460416909117818</v>
      </c>
      <c r="Z30" s="61"/>
      <c r="AA30" s="4">
        <f>5*AA29</f>
        <v>50</v>
      </c>
      <c r="AB30" s="61">
        <f t="shared" si="44"/>
        <v>5.0000000000000002E-5</v>
      </c>
      <c r="AC30" s="61">
        <f t="shared" si="36"/>
        <v>39700000</v>
      </c>
      <c r="AD30" s="61">
        <f t="shared" si="37"/>
        <v>7084548.1049562721</v>
      </c>
      <c r="AE30" s="2">
        <f t="shared" si="38"/>
        <v>-53958.8</v>
      </c>
      <c r="AF30" s="62">
        <f t="shared" si="45"/>
        <v>7.3164368926004744E-3</v>
      </c>
      <c r="AG30" s="65">
        <f t="shared" si="46"/>
        <v>-0.18576853021643605</v>
      </c>
      <c r="AI30" s="4">
        <f>5*AI29</f>
        <v>50</v>
      </c>
      <c r="AJ30" s="61">
        <f t="shared" si="47"/>
        <v>5.0000000000000002E-5</v>
      </c>
      <c r="AK30" s="61">
        <f t="shared" si="48"/>
        <v>30877777.777777776</v>
      </c>
      <c r="AL30" s="61">
        <f t="shared" si="49"/>
        <v>1111111.1111111105</v>
      </c>
      <c r="AM30" s="2">
        <f t="shared" si="50"/>
        <v>-53958.8</v>
      </c>
      <c r="AN30" s="62">
        <f t="shared" si="51"/>
        <v>2.7518478914173208E-2</v>
      </c>
      <c r="AO30" s="65">
        <f t="shared" si="52"/>
        <v>-6.350264588070792E-2</v>
      </c>
    </row>
    <row r="31" spans="1:41" ht="14" customHeight="1" x14ac:dyDescent="0.3">
      <c r="A31" s="2">
        <v>1</v>
      </c>
      <c r="B31" s="2" t="s">
        <v>66</v>
      </c>
      <c r="F31" s="102"/>
      <c r="G31" s="102"/>
      <c r="H31" s="4">
        <f>10*H29</f>
        <v>100</v>
      </c>
      <c r="I31" s="61">
        <f t="shared" si="39"/>
        <v>1E-4</v>
      </c>
      <c r="J31" s="61">
        <f t="shared" si="27"/>
        <v>46316666.666666664</v>
      </c>
      <c r="K31" s="61">
        <f t="shared" si="28"/>
        <v>52500000</v>
      </c>
      <c r="L31" s="2">
        <f t="shared" si="29"/>
        <v>-53958.8</v>
      </c>
      <c r="M31" s="62">
        <f t="shared" si="40"/>
        <v>1.0268564214627116E-3</v>
      </c>
      <c r="N31" s="61">
        <f t="shared" si="41"/>
        <v>-1.1345281158673066</v>
      </c>
      <c r="O31" s="63">
        <f t="shared" si="30"/>
        <v>1.7379193997163506E-2</v>
      </c>
      <c r="P31" s="62">
        <f t="shared" si="31"/>
        <v>4.7594882917524124E-2</v>
      </c>
      <c r="Q31" s="64">
        <f t="shared" si="32"/>
        <v>9.5189765835048248E-2</v>
      </c>
      <c r="S31" s="4">
        <f>10*S29</f>
        <v>100</v>
      </c>
      <c r="T31" s="61">
        <f>T29*10</f>
        <v>9.9999999999999991E-5</v>
      </c>
      <c r="U31" s="61">
        <f t="shared" si="33"/>
        <v>27790000.000000004</v>
      </c>
      <c r="V31" s="61">
        <f t="shared" si="34"/>
        <v>8100000.0000000019</v>
      </c>
      <c r="W31" s="2">
        <f t="shared" si="35"/>
        <v>-53958.8</v>
      </c>
      <c r="X31" s="62">
        <f t="shared" si="42"/>
        <v>6.5159155139469004E-3</v>
      </c>
      <c r="Y31" s="65">
        <f t="shared" si="43"/>
        <v>-0.29798766794287818</v>
      </c>
      <c r="Z31" s="61"/>
      <c r="AA31" s="4">
        <f>10*AA29</f>
        <v>100</v>
      </c>
      <c r="AB31" s="61">
        <f t="shared" si="44"/>
        <v>1E-4</v>
      </c>
      <c r="AC31" s="61">
        <f t="shared" si="36"/>
        <v>19850000</v>
      </c>
      <c r="AD31" s="61">
        <f t="shared" si="37"/>
        <v>1771137.026239068</v>
      </c>
      <c r="AE31" s="2">
        <f t="shared" si="38"/>
        <v>-53958.8</v>
      </c>
      <c r="AF31" s="62">
        <f t="shared" si="45"/>
        <v>2.4006575229861018E-2</v>
      </c>
      <c r="AG31" s="65">
        <f t="shared" si="46"/>
        <v>-0.11323262189177881</v>
      </c>
      <c r="AI31" s="4">
        <f>10*AI29</f>
        <v>100</v>
      </c>
      <c r="AJ31" s="61">
        <f t="shared" si="47"/>
        <v>1E-4</v>
      </c>
      <c r="AK31" s="61">
        <f t="shared" si="48"/>
        <v>15438888.888888888</v>
      </c>
      <c r="AL31" s="61">
        <f t="shared" si="49"/>
        <v>277777.77777777764</v>
      </c>
      <c r="AM31" s="2">
        <f t="shared" si="50"/>
        <v>-53958.8</v>
      </c>
      <c r="AN31" s="62">
        <f t="shared" si="51"/>
        <v>5.0802965025553967E-2</v>
      </c>
      <c r="AO31" s="65">
        <f t="shared" si="52"/>
        <v>-6.879504850882133E-2</v>
      </c>
    </row>
    <row r="32" spans="1:41" ht="14" customHeight="1" thickBot="1" x14ac:dyDescent="0.35">
      <c r="A32" s="2">
        <v>2</v>
      </c>
      <c r="B32" s="117" t="s">
        <v>67</v>
      </c>
      <c r="C32" s="117"/>
      <c r="D32" s="117"/>
      <c r="E32" s="117"/>
      <c r="F32" s="117"/>
      <c r="G32" s="102"/>
      <c r="H32" s="68">
        <f>5*H31</f>
        <v>500</v>
      </c>
      <c r="I32" s="69">
        <f t="shared" si="39"/>
        <v>5.0000000000000001E-4</v>
      </c>
      <c r="J32" s="69">
        <f t="shared" si="27"/>
        <v>9263333.333333334</v>
      </c>
      <c r="K32" s="69">
        <f t="shared" si="28"/>
        <v>2100000.0000000005</v>
      </c>
      <c r="L32" s="5">
        <f t="shared" si="29"/>
        <v>-53958.8</v>
      </c>
      <c r="M32" s="70">
        <f t="shared" si="40"/>
        <v>2.3299932442504143E-2</v>
      </c>
      <c r="N32" s="69">
        <f t="shared" si="41"/>
        <v>-0.25000018433167298</v>
      </c>
      <c r="O32" s="71">
        <f t="shared" si="30"/>
        <v>3.8861059171813879E-2</v>
      </c>
      <c r="P32" s="70">
        <f t="shared" si="31"/>
        <v>0.10642539358472747</v>
      </c>
      <c r="Q32" s="72">
        <f t="shared" si="32"/>
        <v>0.21285078716945494</v>
      </c>
      <c r="S32" s="68">
        <f>5*S31</f>
        <v>500</v>
      </c>
      <c r="T32" s="69">
        <f>T31*5</f>
        <v>5.0000000000000001E-4</v>
      </c>
      <c r="U32" s="69">
        <f t="shared" si="33"/>
        <v>5558000</v>
      </c>
      <c r="V32" s="69">
        <f t="shared" si="34"/>
        <v>324000</v>
      </c>
      <c r="W32" s="5">
        <f t="shared" si="35"/>
        <v>-53958.8</v>
      </c>
      <c r="X32" s="70">
        <f t="shared" si="42"/>
        <v>7.3604321910234485E-2</v>
      </c>
      <c r="Y32" s="73">
        <f t="shared" si="43"/>
        <v>-0.13189867239602074</v>
      </c>
      <c r="Z32" s="61"/>
      <c r="AA32" s="68">
        <f>5*AA31</f>
        <v>500</v>
      </c>
      <c r="AB32" s="69">
        <f t="shared" si="44"/>
        <v>5.0000000000000001E-4</v>
      </c>
      <c r="AC32" s="69">
        <f t="shared" si="36"/>
        <v>3970000</v>
      </c>
      <c r="AD32" s="69">
        <f t="shared" si="37"/>
        <v>70845.481049562717</v>
      </c>
      <c r="AE32" s="5">
        <f t="shared" si="38"/>
        <v>-53958.8</v>
      </c>
      <c r="AF32" s="70">
        <f t="shared" si="45"/>
        <v>0.10800151668447788</v>
      </c>
      <c r="AG32" s="73">
        <f t="shared" si="46"/>
        <v>-0.12584672601686142</v>
      </c>
      <c r="AI32" s="68">
        <f>5*AI31</f>
        <v>500</v>
      </c>
      <c r="AJ32" s="69">
        <f t="shared" si="47"/>
        <v>5.0000000000000001E-4</v>
      </c>
      <c r="AK32" s="69">
        <f t="shared" si="48"/>
        <v>3087777.7777777775</v>
      </c>
      <c r="AL32" s="69">
        <f t="shared" ref="AL32" si="53">150*(1-$D$17)*$D$20/((AJ32^2)*$D$17^3)</f>
        <v>11111.111111111108</v>
      </c>
      <c r="AM32" s="5">
        <f t="shared" si="50"/>
        <v>-53958.8</v>
      </c>
      <c r="AN32" s="70">
        <f t="shared" si="51"/>
        <v>0.13040593288039165</v>
      </c>
      <c r="AO32" s="73">
        <f t="shared" si="52"/>
        <v>-0.13400434957704513</v>
      </c>
    </row>
    <row r="33" spans="2:41" ht="14.5" thickBot="1" x14ac:dyDescent="0.35">
      <c r="B33" s="117"/>
      <c r="C33" s="117"/>
      <c r="D33" s="117"/>
      <c r="E33" s="117"/>
      <c r="F33" s="117"/>
      <c r="G33" s="102"/>
    </row>
    <row r="34" spans="2:41" x14ac:dyDescent="0.3">
      <c r="B34" s="117"/>
      <c r="C34" s="117"/>
      <c r="D34" s="117"/>
      <c r="E34" s="117"/>
      <c r="F34" s="117"/>
      <c r="H34" s="79" t="s">
        <v>53</v>
      </c>
      <c r="I34" s="80"/>
      <c r="J34" s="80"/>
      <c r="K34" s="80"/>
      <c r="L34" s="80"/>
      <c r="M34" s="81"/>
      <c r="N34" s="81"/>
      <c r="O34" s="81"/>
      <c r="P34" s="81"/>
      <c r="Q34" s="82"/>
      <c r="S34" s="79" t="s">
        <v>54</v>
      </c>
      <c r="T34" s="83"/>
      <c r="U34" s="83"/>
      <c r="V34" s="83"/>
      <c r="W34" s="83"/>
      <c r="X34" s="84"/>
      <c r="Y34" s="85"/>
      <c r="Z34" s="86"/>
      <c r="AA34" s="79" t="s">
        <v>55</v>
      </c>
      <c r="AB34" s="83"/>
      <c r="AC34" s="83"/>
      <c r="AD34" s="83"/>
      <c r="AE34" s="83"/>
      <c r="AF34" s="84"/>
      <c r="AG34" s="85"/>
      <c r="AI34" s="79" t="s">
        <v>89</v>
      </c>
      <c r="AJ34" s="83"/>
      <c r="AK34" s="83"/>
      <c r="AL34" s="83"/>
      <c r="AM34" s="83"/>
      <c r="AN34" s="84"/>
      <c r="AO34" s="85"/>
    </row>
    <row r="35" spans="2:41" x14ac:dyDescent="0.3">
      <c r="H35" s="4" t="s">
        <v>25</v>
      </c>
      <c r="I35" s="2" t="s">
        <v>26</v>
      </c>
      <c r="J35" s="10" t="s">
        <v>27</v>
      </c>
      <c r="K35" s="10" t="s">
        <v>28</v>
      </c>
      <c r="L35" s="10" t="s">
        <v>29</v>
      </c>
      <c r="M35" s="87" t="s">
        <v>30</v>
      </c>
      <c r="N35" s="10" t="s">
        <v>30</v>
      </c>
      <c r="O35" s="88" t="s">
        <v>31</v>
      </c>
      <c r="P35" s="87" t="s">
        <v>31</v>
      </c>
      <c r="Q35" s="89" t="s">
        <v>31</v>
      </c>
      <c r="S35" s="12" t="s">
        <v>25</v>
      </c>
      <c r="T35" s="1" t="s">
        <v>26</v>
      </c>
      <c r="U35" s="49" t="s">
        <v>27</v>
      </c>
      <c r="V35" s="49" t="s">
        <v>28</v>
      </c>
      <c r="W35" s="49" t="s">
        <v>29</v>
      </c>
      <c r="X35" s="57" t="s">
        <v>30</v>
      </c>
      <c r="Y35" s="50" t="s">
        <v>30</v>
      </c>
      <c r="Z35" s="10"/>
      <c r="AA35" s="12" t="s">
        <v>25</v>
      </c>
      <c r="AB35" s="1" t="s">
        <v>26</v>
      </c>
      <c r="AC35" s="49" t="s">
        <v>27</v>
      </c>
      <c r="AD35" s="49" t="s">
        <v>28</v>
      </c>
      <c r="AE35" s="49" t="s">
        <v>29</v>
      </c>
      <c r="AF35" s="49" t="s">
        <v>30</v>
      </c>
      <c r="AG35" s="50" t="s">
        <v>30</v>
      </c>
      <c r="AI35" s="12" t="s">
        <v>25</v>
      </c>
      <c r="AJ35" s="1" t="s">
        <v>26</v>
      </c>
      <c r="AK35" s="49" t="s">
        <v>27</v>
      </c>
      <c r="AL35" s="49" t="s">
        <v>28</v>
      </c>
      <c r="AM35" s="49" t="s">
        <v>29</v>
      </c>
      <c r="AN35" s="49" t="s">
        <v>30</v>
      </c>
      <c r="AO35" s="50" t="s">
        <v>30</v>
      </c>
    </row>
    <row r="36" spans="2:41" x14ac:dyDescent="0.3">
      <c r="H36" s="4">
        <v>0.01</v>
      </c>
      <c r="I36" s="61">
        <f>H36/1000000</f>
        <v>1E-8</v>
      </c>
      <c r="J36" s="61">
        <f t="shared" ref="J36:J45" si="54">1.75*$D$12/(I36*$D$14)</f>
        <v>488250000000</v>
      </c>
      <c r="K36" s="61">
        <f t="shared" ref="K36:K45" si="55">150*(1-$D$14)*$D$21/((I36^2)*$D$14^3)</f>
        <v>6276666666666666</v>
      </c>
      <c r="L36" s="2">
        <f t="shared" ref="L36:L45" si="56">-($D$9-$D$12)*$D$13</f>
        <v>-53537.4</v>
      </c>
      <c r="M36" s="62">
        <f>(-K36+SQRT((K36^2)-4*J36*L36))/(2*J36)</f>
        <v>8.19252432155658E-12</v>
      </c>
      <c r="N36" s="61">
        <f>(-K36-SQRT((K36^2)-4*J36*L36))/(2*J36)</f>
        <v>-12855.43608124254</v>
      </c>
      <c r="O36" s="63">
        <f t="shared" ref="O36:O45" si="57">SQRT(4*I36*(-L36)/(3*$D$12*$O$7))</f>
        <v>1.6860663076484673E-4</v>
      </c>
      <c r="P36" s="62">
        <f t="shared" ref="P36:P45" si="58">SQRT(4*I36*(-L36)/(3*$D$12*$P$7))</f>
        <v>4.6174827507425536E-4</v>
      </c>
      <c r="Q36" s="64">
        <f t="shared" ref="Q36:Q45" si="59">SQRT(4*I36*(-L36)/(3*$D$12*$Q$7))</f>
        <v>9.2349655014851073E-4</v>
      </c>
      <c r="S36" s="4">
        <v>0.01</v>
      </c>
      <c r="T36" s="61">
        <f>S36/1000000</f>
        <v>1E-8</v>
      </c>
      <c r="U36" s="61">
        <f t="shared" ref="U36:U45" si="60">1.75*$D$12/(T36*$D$15)</f>
        <v>292950000000</v>
      </c>
      <c r="V36" s="61">
        <f t="shared" ref="V36:V45" si="61">150*(1-$D$15)*$D$21/((T36^2)*$D$15^3)</f>
        <v>968399999999999.88</v>
      </c>
      <c r="W36" s="2">
        <f t="shared" ref="W36:W45" si="62">-($D$9-$D$12)*$D$13</f>
        <v>-53537.4</v>
      </c>
      <c r="X36" s="62">
        <f>(-V36+SQRT((V36^2)-4*U36*W36))/(2*U36)</f>
        <v>5.5256869772998803E-11</v>
      </c>
      <c r="Y36" s="65">
        <f>(-V36-SQRT((V36^2)-4*U36*W36))/(2*U36)</f>
        <v>-3305.6835637481345</v>
      </c>
      <c r="Z36" s="61"/>
      <c r="AA36" s="4">
        <v>0.01</v>
      </c>
      <c r="AB36" s="61">
        <f>AA36/1000000</f>
        <v>1E-8</v>
      </c>
      <c r="AC36" s="61">
        <f t="shared" ref="AC36:AC45" si="63">1.75*$D$12/(AB36*$D$16)</f>
        <v>209250000000</v>
      </c>
      <c r="AD36" s="61">
        <f t="shared" ref="AD36:AD45" si="64">150*(1-$D$16)*$D$21/((AB36^2)*$D$16^3)</f>
        <v>211749271137026.28</v>
      </c>
      <c r="AE36" s="2">
        <f t="shared" ref="AE36:AE45" si="65">-($D$9-$D$12)*$D$13</f>
        <v>-53537.4</v>
      </c>
      <c r="AF36" s="62">
        <f>(-AD36+SQRT((AD36^2)-4*AC36*AE36))/(2*AC36)</f>
        <v>2.528375149342891E-10</v>
      </c>
      <c r="AG36" s="65">
        <f>(-AD36-SQRT((AD36^2)-4*AC36*AE36))/(2*AC36)</f>
        <v>-1011.9439480863999</v>
      </c>
      <c r="AI36" s="4">
        <v>0.01</v>
      </c>
      <c r="AJ36" s="61">
        <f>AI36/1000000</f>
        <v>1E-8</v>
      </c>
      <c r="AK36" s="61">
        <f>1.75*$D$12/(AJ36*$D$17)</f>
        <v>162749999999.99997</v>
      </c>
      <c r="AL36" s="61">
        <f>150*(1-$D$17)*$D$21/((AJ36^2)*$D$17^3)</f>
        <v>33209876543209.859</v>
      </c>
      <c r="AM36" s="2">
        <f t="shared" ref="AM36:AM45" si="66">-($D$9-$D$12)*$D$13</f>
        <v>-53537.4</v>
      </c>
      <c r="AN36" s="62">
        <f>(-AL36+SQRT((AL36^2)-4*AK36*AM36))/(2*AK36)</f>
        <v>1.6120991743471584E-9</v>
      </c>
      <c r="AO36" s="65">
        <f>(-AL36-SQRT((AL36^2)-4*AK36*AM36))/(2*AK36)</f>
        <v>-204.05454097371572</v>
      </c>
    </row>
    <row r="37" spans="2:41" x14ac:dyDescent="0.3">
      <c r="H37" s="4">
        <f>5*H36</f>
        <v>0.05</v>
      </c>
      <c r="I37" s="61">
        <f t="shared" ref="I37:I45" si="67">H37/1000000</f>
        <v>5.0000000000000004E-8</v>
      </c>
      <c r="J37" s="61">
        <f t="shared" si="54"/>
        <v>97649999999.999985</v>
      </c>
      <c r="K37" s="61">
        <f t="shared" si="55"/>
        <v>251066666666666.63</v>
      </c>
      <c r="L37" s="2">
        <f t="shared" si="56"/>
        <v>-53537.4</v>
      </c>
      <c r="M37" s="62">
        <f t="shared" ref="M37:M45" si="68">(-K37+SQRT((K37^2)-4*J37*L37))/(2*J37)</f>
        <v>2.1313364055299542E-10</v>
      </c>
      <c r="N37" s="61">
        <f t="shared" ref="N37:N45" si="69">(-K37-SQRT((K37^2)-4*J37*L37))/(2*J37)</f>
        <v>-2571.0872162487199</v>
      </c>
      <c r="O37" s="63">
        <f t="shared" si="57"/>
        <v>3.7701588784740467E-4</v>
      </c>
      <c r="P37" s="62">
        <f t="shared" si="58"/>
        <v>1.0325005315593068E-3</v>
      </c>
      <c r="Q37" s="64">
        <f t="shared" si="59"/>
        <v>2.0650010631186135E-3</v>
      </c>
      <c r="S37" s="4">
        <f>5*S36</f>
        <v>0.05</v>
      </c>
      <c r="T37" s="61">
        <f>T36*5</f>
        <v>4.9999999999999998E-8</v>
      </c>
      <c r="U37" s="61">
        <f t="shared" si="60"/>
        <v>58590000000</v>
      </c>
      <c r="V37" s="61">
        <f t="shared" si="61"/>
        <v>38736000000000.008</v>
      </c>
      <c r="W37" s="2">
        <f t="shared" si="62"/>
        <v>-53537.4</v>
      </c>
      <c r="X37" s="62">
        <f t="shared" ref="X37:X45" si="70">(-V37+SQRT((V37^2)-4*U37*W37))/(2*U37)</f>
        <v>1.3820884536610342E-9</v>
      </c>
      <c r="Y37" s="65">
        <f t="shared" ref="Y37:Y45" si="71">(-V37-SQRT((V37^2)-4*U37*W37))/(2*U37)</f>
        <v>-661.13671275099819</v>
      </c>
      <c r="Z37" s="61"/>
      <c r="AA37" s="4">
        <f>5*AA36</f>
        <v>0.05</v>
      </c>
      <c r="AB37" s="61">
        <f t="shared" ref="AB37:AB45" si="72">AA37/1000000</f>
        <v>5.0000000000000004E-8</v>
      </c>
      <c r="AC37" s="61">
        <f t="shared" si="63"/>
        <v>41850000000</v>
      </c>
      <c r="AD37" s="61">
        <f t="shared" si="64"/>
        <v>8469970845481.0518</v>
      </c>
      <c r="AE37" s="2">
        <f t="shared" si="65"/>
        <v>-53537.4</v>
      </c>
      <c r="AF37" s="62">
        <f t="shared" ref="AF37:AF45" si="73">(-AD37+SQRT((AD37^2)-4*AC37*AE37))/(2*AC37)</f>
        <v>6.3208445340501794E-9</v>
      </c>
      <c r="AG37" s="65">
        <f t="shared" ref="AG37:AG45" si="74">(-AD37-SQRT((AD37^2)-4*AC37*AE37))/(2*AC37)</f>
        <v>-202.38878962355028</v>
      </c>
      <c r="AI37" s="4">
        <f>5*AI36</f>
        <v>0.05</v>
      </c>
      <c r="AJ37" s="61">
        <f t="shared" ref="AJ37:AJ45" si="75">AI37/1000000</f>
        <v>5.0000000000000004E-8</v>
      </c>
      <c r="AK37" s="61">
        <f t="shared" ref="AK37:AK45" si="76">1.75*$D$12/(AJ37*$D$17)</f>
        <v>32549999999.999996</v>
      </c>
      <c r="AL37" s="61">
        <f t="shared" ref="AL37:AL45" si="77">150*(1-$D$17)*$D$21/((AJ37^2)*$D$17^3)</f>
        <v>1328395061728.3943</v>
      </c>
      <c r="AM37" s="2">
        <f t="shared" si="66"/>
        <v>-53537.4</v>
      </c>
      <c r="AN37" s="62">
        <f t="shared" ref="AN37:AN45" si="78">(-AL37+SQRT((AL37^2)-4*AK37*AM37))/(2*AK37)</f>
        <v>4.0302318098358301E-8</v>
      </c>
      <c r="AO37" s="65">
        <f t="shared" ref="AO37:AO45" si="79">(-AL37-SQRT((AL37^2)-4*AK37*AM37))/(2*AK37)</f>
        <v>-40.810908234723044</v>
      </c>
    </row>
    <row r="38" spans="2:41" x14ac:dyDescent="0.3">
      <c r="H38" s="4">
        <f>10*H36</f>
        <v>0.1</v>
      </c>
      <c r="I38" s="61">
        <f t="shared" si="67"/>
        <v>1.0000000000000001E-7</v>
      </c>
      <c r="J38" s="61">
        <f t="shared" si="54"/>
        <v>48824999999.999992</v>
      </c>
      <c r="K38" s="61">
        <f t="shared" si="55"/>
        <v>62766666666666.656</v>
      </c>
      <c r="L38" s="2">
        <f t="shared" si="56"/>
        <v>-53537.4</v>
      </c>
      <c r="M38" s="62">
        <f t="shared" si="68"/>
        <v>8.5293458781362024E-10</v>
      </c>
      <c r="N38" s="61">
        <f t="shared" si="69"/>
        <v>-1285.5436081251062</v>
      </c>
      <c r="O38" s="63">
        <f t="shared" si="57"/>
        <v>5.3318098182393342E-4</v>
      </c>
      <c r="P38" s="62">
        <f t="shared" si="58"/>
        <v>1.4601762548886014E-3</v>
      </c>
      <c r="Q38" s="64">
        <f t="shared" si="59"/>
        <v>2.9203525097772028E-3</v>
      </c>
      <c r="S38" s="4">
        <f>10*S36</f>
        <v>0.1</v>
      </c>
      <c r="T38" s="61">
        <f>T36*10</f>
        <v>9.9999999999999995E-8</v>
      </c>
      <c r="U38" s="61">
        <f t="shared" si="60"/>
        <v>29295000000</v>
      </c>
      <c r="V38" s="61">
        <f t="shared" si="61"/>
        <v>9684000000000.002</v>
      </c>
      <c r="W38" s="2">
        <f t="shared" si="62"/>
        <v>-53537.4</v>
      </c>
      <c r="X38" s="62">
        <f t="shared" si="70"/>
        <v>5.5284204855777437E-9</v>
      </c>
      <c r="Y38" s="65">
        <f t="shared" si="71"/>
        <v>-330.56835638033647</v>
      </c>
      <c r="Z38" s="61"/>
      <c r="AA38" s="4">
        <f>10*AA36</f>
        <v>0.1</v>
      </c>
      <c r="AB38" s="61">
        <f t="shared" si="72"/>
        <v>1.0000000000000001E-7</v>
      </c>
      <c r="AC38" s="61">
        <f t="shared" si="63"/>
        <v>20925000000</v>
      </c>
      <c r="AD38" s="61">
        <f t="shared" si="64"/>
        <v>2117492711370.2629</v>
      </c>
      <c r="AE38" s="2">
        <f t="shared" si="65"/>
        <v>-53537.4</v>
      </c>
      <c r="AF38" s="62">
        <f t="shared" si="73"/>
        <v>2.5283389803614098E-8</v>
      </c>
      <c r="AG38" s="65">
        <f t="shared" si="74"/>
        <v>-101.1943948338981</v>
      </c>
      <c r="AI38" s="4">
        <f>10*AI36</f>
        <v>0.1</v>
      </c>
      <c r="AJ38" s="61">
        <f t="shared" si="75"/>
        <v>1.0000000000000001E-7</v>
      </c>
      <c r="AK38" s="61">
        <f t="shared" si="76"/>
        <v>16274999999.999998</v>
      </c>
      <c r="AL38" s="61">
        <f t="shared" si="77"/>
        <v>332098765432.09857</v>
      </c>
      <c r="AM38" s="2">
        <f t="shared" si="66"/>
        <v>-53537.4</v>
      </c>
      <c r="AN38" s="62">
        <f t="shared" si="78"/>
        <v>1.612092705183132E-7</v>
      </c>
      <c r="AO38" s="65">
        <f t="shared" si="79"/>
        <v>-20.405454258419628</v>
      </c>
    </row>
    <row r="39" spans="2:41" x14ac:dyDescent="0.3">
      <c r="H39" s="4">
        <f>5*H38</f>
        <v>0.5</v>
      </c>
      <c r="I39" s="61">
        <f t="shared" si="67"/>
        <v>4.9999999999999998E-7</v>
      </c>
      <c r="J39" s="61">
        <f t="shared" si="54"/>
        <v>9765000000</v>
      </c>
      <c r="K39" s="61">
        <f t="shared" si="55"/>
        <v>2510666666666.667</v>
      </c>
      <c r="L39" s="2">
        <f t="shared" si="56"/>
        <v>-53537.4</v>
      </c>
      <c r="M39" s="62">
        <f t="shared" si="68"/>
        <v>2.1323989735343063E-8</v>
      </c>
      <c r="N39" s="61">
        <f t="shared" si="69"/>
        <v>-257.10872164617467</v>
      </c>
      <c r="O39" s="63">
        <f t="shared" si="57"/>
        <v>1.1922289196683949E-3</v>
      </c>
      <c r="P39" s="62">
        <f t="shared" si="58"/>
        <v>3.2650533650619719E-3</v>
      </c>
      <c r="Q39" s="64">
        <f t="shared" si="59"/>
        <v>6.5301067301239439E-3</v>
      </c>
      <c r="S39" s="4">
        <f>5*S38</f>
        <v>0.5</v>
      </c>
      <c r="T39" s="61">
        <f>T38*5</f>
        <v>4.9999999999999998E-7</v>
      </c>
      <c r="U39" s="61">
        <f t="shared" si="60"/>
        <v>5859000000</v>
      </c>
      <c r="V39" s="61">
        <f t="shared" si="61"/>
        <v>387360000000</v>
      </c>
      <c r="W39" s="2">
        <f t="shared" si="62"/>
        <v>-53537.4</v>
      </c>
      <c r="X39" s="62">
        <f t="shared" si="70"/>
        <v>1.3821096529344546E-7</v>
      </c>
      <c r="Y39" s="65">
        <f t="shared" si="71"/>
        <v>-66.113671413172568</v>
      </c>
      <c r="Z39" s="61"/>
      <c r="AA39" s="4">
        <f>5*AA38</f>
        <v>0.5</v>
      </c>
      <c r="AB39" s="61">
        <f t="shared" si="72"/>
        <v>4.9999999999999998E-7</v>
      </c>
      <c r="AC39" s="61">
        <f t="shared" si="63"/>
        <v>4185000000</v>
      </c>
      <c r="AD39" s="61">
        <f t="shared" si="64"/>
        <v>84699708454.810532</v>
      </c>
      <c r="AE39" s="2">
        <f t="shared" si="65"/>
        <v>-53537.4</v>
      </c>
      <c r="AF39" s="62">
        <f t="shared" si="73"/>
        <v>6.3208480160438604E-7</v>
      </c>
      <c r="AG39" s="65">
        <f t="shared" si="74"/>
        <v>-20.238879593807745</v>
      </c>
      <c r="AI39" s="4">
        <f>5*AI38</f>
        <v>0.5</v>
      </c>
      <c r="AJ39" s="61">
        <f t="shared" si="75"/>
        <v>4.9999999999999998E-7</v>
      </c>
      <c r="AK39" s="61">
        <f t="shared" si="76"/>
        <v>3255000000</v>
      </c>
      <c r="AL39" s="61">
        <f t="shared" si="77"/>
        <v>13283950617.283943</v>
      </c>
      <c r="AM39" s="2">
        <f t="shared" si="66"/>
        <v>-53537.4</v>
      </c>
      <c r="AN39" s="62">
        <f t="shared" si="78"/>
        <v>4.0302278044037006E-6</v>
      </c>
      <c r="AO39" s="65">
        <f t="shared" si="79"/>
        <v>-4.081094849669876</v>
      </c>
    </row>
    <row r="40" spans="2:41" x14ac:dyDescent="0.3">
      <c r="H40" s="4">
        <f>10*H38</f>
        <v>1</v>
      </c>
      <c r="I40" s="61">
        <f t="shared" si="67"/>
        <v>9.9999999999999995E-7</v>
      </c>
      <c r="J40" s="61">
        <f t="shared" si="54"/>
        <v>4882500000</v>
      </c>
      <c r="K40" s="61">
        <f t="shared" si="55"/>
        <v>627666666666.66675</v>
      </c>
      <c r="L40" s="2">
        <f t="shared" si="56"/>
        <v>-53537.4</v>
      </c>
      <c r="M40" s="62">
        <f t="shared" si="68"/>
        <v>8.5295908938172047E-8</v>
      </c>
      <c r="N40" s="61">
        <f t="shared" si="69"/>
        <v>-128.55436089772127</v>
      </c>
      <c r="O40" s="63">
        <f t="shared" si="57"/>
        <v>1.6860663076484672E-3</v>
      </c>
      <c r="P40" s="62">
        <f t="shared" si="58"/>
        <v>4.6174827507425532E-3</v>
      </c>
      <c r="Q40" s="64">
        <f t="shared" si="59"/>
        <v>9.2349655014851064E-3</v>
      </c>
      <c r="S40" s="4">
        <f>10*S38</f>
        <v>1</v>
      </c>
      <c r="T40" s="61">
        <f>T38*10</f>
        <v>9.9999999999999995E-7</v>
      </c>
      <c r="U40" s="61">
        <f t="shared" si="60"/>
        <v>2929500000</v>
      </c>
      <c r="V40" s="61">
        <f t="shared" si="61"/>
        <v>96840000000</v>
      </c>
      <c r="W40" s="2">
        <f t="shared" si="62"/>
        <v>-53537.4</v>
      </c>
      <c r="X40" s="62">
        <f t="shared" si="70"/>
        <v>5.5284385596511514E-7</v>
      </c>
      <c r="Y40" s="65">
        <f t="shared" si="71"/>
        <v>-33.056836190324653</v>
      </c>
      <c r="Z40" s="61"/>
      <c r="AA40" s="4">
        <f>10*AA38</f>
        <v>1</v>
      </c>
      <c r="AB40" s="61">
        <f t="shared" si="72"/>
        <v>9.9999999999999995E-7</v>
      </c>
      <c r="AC40" s="61">
        <f t="shared" si="63"/>
        <v>2092500000</v>
      </c>
      <c r="AD40" s="61">
        <f t="shared" si="64"/>
        <v>21174927113.702633</v>
      </c>
      <c r="AE40" s="2">
        <f t="shared" si="65"/>
        <v>-53537.4</v>
      </c>
      <c r="AF40" s="62">
        <f t="shared" si="73"/>
        <v>2.5283386494808584E-6</v>
      </c>
      <c r="AG40" s="65">
        <f t="shared" si="74"/>
        <v>-10.119442009200124</v>
      </c>
      <c r="AI40" s="4">
        <f>10*AI38</f>
        <v>1</v>
      </c>
      <c r="AJ40" s="61">
        <f t="shared" si="75"/>
        <v>9.9999999999999995E-7</v>
      </c>
      <c r="AK40" s="61">
        <f t="shared" si="76"/>
        <v>1627500000</v>
      </c>
      <c r="AL40" s="61">
        <f t="shared" si="77"/>
        <v>3320987654.3209858</v>
      </c>
      <c r="AM40" s="2">
        <f t="shared" si="66"/>
        <v>-53537.4</v>
      </c>
      <c r="AN40" s="62">
        <f t="shared" si="78"/>
        <v>1.612079977937924E-5</v>
      </c>
      <c r="AO40" s="65">
        <f t="shared" si="79"/>
        <v>-2.0405615305208151</v>
      </c>
    </row>
    <row r="41" spans="2:41" x14ac:dyDescent="0.3">
      <c r="H41" s="4">
        <f>5*H40</f>
        <v>5</v>
      </c>
      <c r="I41" s="61">
        <f t="shared" si="67"/>
        <v>5.0000000000000004E-6</v>
      </c>
      <c r="J41" s="61">
        <f t="shared" si="54"/>
        <v>976500000</v>
      </c>
      <c r="K41" s="61">
        <f t="shared" si="55"/>
        <v>25106666666.66666</v>
      </c>
      <c r="L41" s="2">
        <f t="shared" si="56"/>
        <v>-53537.4</v>
      </c>
      <c r="M41" s="62">
        <f t="shared" si="68"/>
        <v>2.1323975925865507E-6</v>
      </c>
      <c r="N41" s="61">
        <f t="shared" si="69"/>
        <v>-25.710874294882654</v>
      </c>
      <c r="O41" s="63">
        <f t="shared" si="57"/>
        <v>3.7701588784740461E-3</v>
      </c>
      <c r="P41" s="62">
        <f t="shared" si="58"/>
        <v>1.0325005315593067E-2</v>
      </c>
      <c r="Q41" s="64">
        <f t="shared" si="59"/>
        <v>2.0650010631186135E-2</v>
      </c>
      <c r="S41" s="4">
        <f>5*S40</f>
        <v>5</v>
      </c>
      <c r="T41" s="61">
        <f>T40*5</f>
        <v>4.9999999999999996E-6</v>
      </c>
      <c r="U41" s="61">
        <f t="shared" si="60"/>
        <v>585900000</v>
      </c>
      <c r="V41" s="61">
        <f t="shared" si="61"/>
        <v>3873600000.0000005</v>
      </c>
      <c r="W41" s="2">
        <f t="shared" si="62"/>
        <v>-53537.4</v>
      </c>
      <c r="X41" s="62">
        <f t="shared" si="70"/>
        <v>1.3821067761227343E-5</v>
      </c>
      <c r="Y41" s="65">
        <f t="shared" si="71"/>
        <v>-6.6113809485639221</v>
      </c>
      <c r="Z41" s="61"/>
      <c r="AA41" s="4">
        <f>5*AA40</f>
        <v>5</v>
      </c>
      <c r="AB41" s="61">
        <f t="shared" si="72"/>
        <v>5.0000000000000004E-6</v>
      </c>
      <c r="AC41" s="61">
        <f t="shared" si="63"/>
        <v>418500000</v>
      </c>
      <c r="AD41" s="61">
        <f t="shared" si="64"/>
        <v>846997084.54810512</v>
      </c>
      <c r="AE41" s="2">
        <f t="shared" si="65"/>
        <v>-53537.4</v>
      </c>
      <c r="AF41" s="62">
        <f t="shared" si="73"/>
        <v>6.3206508077743375E-5</v>
      </c>
      <c r="AG41" s="65">
        <f t="shared" si="74"/>
        <v>-2.023951102680372</v>
      </c>
      <c r="AI41" s="4">
        <f>5*AI40</f>
        <v>5</v>
      </c>
      <c r="AJ41" s="61">
        <f t="shared" si="75"/>
        <v>5.0000000000000004E-6</v>
      </c>
      <c r="AK41" s="61">
        <f t="shared" si="76"/>
        <v>325500000</v>
      </c>
      <c r="AL41" s="61">
        <f t="shared" si="77"/>
        <v>132839506.1728394</v>
      </c>
      <c r="AM41" s="2">
        <f t="shared" si="66"/>
        <v>-53537.4</v>
      </c>
      <c r="AN41" s="62">
        <f t="shared" si="78"/>
        <v>4.026259619286899E-4</v>
      </c>
      <c r="AO41" s="65">
        <f t="shared" si="79"/>
        <v>-0.40851170790613578</v>
      </c>
    </row>
    <row r="42" spans="2:41" x14ac:dyDescent="0.3">
      <c r="H42" s="4">
        <f>10*H40</f>
        <v>10</v>
      </c>
      <c r="I42" s="61">
        <f t="shared" si="67"/>
        <v>1.0000000000000001E-5</v>
      </c>
      <c r="J42" s="61">
        <f t="shared" si="54"/>
        <v>488250000</v>
      </c>
      <c r="K42" s="61">
        <f t="shared" si="55"/>
        <v>6276666666.6666651</v>
      </c>
      <c r="L42" s="2">
        <f t="shared" si="56"/>
        <v>-53537.4</v>
      </c>
      <c r="M42" s="62">
        <f t="shared" si="68"/>
        <v>8.5295854188574327E-6</v>
      </c>
      <c r="N42" s="61">
        <f t="shared" si="69"/>
        <v>-12.855444610827949</v>
      </c>
      <c r="O42" s="63">
        <f t="shared" si="57"/>
        <v>5.3318098182393338E-3</v>
      </c>
      <c r="P42" s="62">
        <f t="shared" si="58"/>
        <v>1.4601762548886014E-2</v>
      </c>
      <c r="Q42" s="64">
        <f t="shared" si="59"/>
        <v>2.9203525097772028E-2</v>
      </c>
      <c r="S42" s="4">
        <f>10*S40</f>
        <v>10</v>
      </c>
      <c r="T42" s="61">
        <f>T40*10</f>
        <v>9.9999999999999991E-6</v>
      </c>
      <c r="U42" s="61">
        <f t="shared" si="60"/>
        <v>292950000</v>
      </c>
      <c r="V42" s="61">
        <f t="shared" si="61"/>
        <v>968400000.00000012</v>
      </c>
      <c r="W42" s="2">
        <f t="shared" si="62"/>
        <v>-53537.4</v>
      </c>
      <c r="X42" s="62">
        <f t="shared" si="70"/>
        <v>5.5283462069591661E-5</v>
      </c>
      <c r="Y42" s="65">
        <f t="shared" si="71"/>
        <v>-3.3057388472101499</v>
      </c>
      <c r="Z42" s="61"/>
      <c r="AA42" s="4">
        <f>10*AA40</f>
        <v>10</v>
      </c>
      <c r="AB42" s="61">
        <f t="shared" si="72"/>
        <v>1.0000000000000001E-5</v>
      </c>
      <c r="AC42" s="61">
        <f t="shared" si="63"/>
        <v>209250000</v>
      </c>
      <c r="AD42" s="61">
        <f t="shared" si="64"/>
        <v>211749271.13702628</v>
      </c>
      <c r="AE42" s="2">
        <f t="shared" si="65"/>
        <v>-53537.4</v>
      </c>
      <c r="AF42" s="62">
        <f t="shared" si="73"/>
        <v>2.5277078918530525E-4</v>
      </c>
      <c r="AG42" s="65">
        <f t="shared" si="74"/>
        <v>-1.0121967188753325</v>
      </c>
      <c r="AI42" s="4">
        <f>10*AI40</f>
        <v>10</v>
      </c>
      <c r="AJ42" s="61">
        <f t="shared" si="75"/>
        <v>1.0000000000000001E-5</v>
      </c>
      <c r="AK42" s="61">
        <f t="shared" si="76"/>
        <v>162750000</v>
      </c>
      <c r="AL42" s="61">
        <f t="shared" si="77"/>
        <v>33209876.543209851</v>
      </c>
      <c r="AM42" s="2">
        <f t="shared" si="66"/>
        <v>-53537.4</v>
      </c>
      <c r="AN42" s="62">
        <f t="shared" si="78"/>
        <v>1.599554040919274E-3</v>
      </c>
      <c r="AO42" s="65">
        <f t="shared" si="79"/>
        <v>-0.20565409501302281</v>
      </c>
    </row>
    <row r="43" spans="2:41" x14ac:dyDescent="0.3">
      <c r="H43" s="4">
        <f>5*H42</f>
        <v>50</v>
      </c>
      <c r="I43" s="61">
        <f t="shared" si="67"/>
        <v>5.0000000000000002E-5</v>
      </c>
      <c r="J43" s="61">
        <f t="shared" si="54"/>
        <v>97650000</v>
      </c>
      <c r="K43" s="61">
        <f t="shared" si="55"/>
        <v>251066666.66666669</v>
      </c>
      <c r="L43" s="2">
        <f t="shared" si="56"/>
        <v>-53537.4</v>
      </c>
      <c r="M43" s="62">
        <f t="shared" si="68"/>
        <v>2.1322209429142723E-4</v>
      </c>
      <c r="N43" s="61">
        <f t="shared" si="69"/>
        <v>-2.5713004383427984</v>
      </c>
      <c r="O43" s="63">
        <f t="shared" si="57"/>
        <v>1.1922289196683948E-2</v>
      </c>
      <c r="P43" s="62">
        <f t="shared" si="58"/>
        <v>3.265053365061972E-2</v>
      </c>
      <c r="Q43" s="64">
        <f t="shared" si="59"/>
        <v>6.530106730123944E-2</v>
      </c>
      <c r="S43" s="4">
        <f>5*S42</f>
        <v>50</v>
      </c>
      <c r="T43" s="61">
        <f>T42*5</f>
        <v>4.9999999999999996E-5</v>
      </c>
      <c r="U43" s="61">
        <f t="shared" si="60"/>
        <v>58590000.000000007</v>
      </c>
      <c r="V43" s="61">
        <f t="shared" si="61"/>
        <v>38736000.000000007</v>
      </c>
      <c r="W43" s="2">
        <f t="shared" si="62"/>
        <v>-53537.4</v>
      </c>
      <c r="X43" s="62">
        <f t="shared" si="70"/>
        <v>1.3792323755883384E-3</v>
      </c>
      <c r="Y43" s="65">
        <f t="shared" si="71"/>
        <v>-0.6625159451252044</v>
      </c>
      <c r="Z43" s="61"/>
      <c r="AA43" s="4">
        <f>5*AA42</f>
        <v>50</v>
      </c>
      <c r="AB43" s="61">
        <f t="shared" si="72"/>
        <v>5.0000000000000002E-5</v>
      </c>
      <c r="AC43" s="61">
        <f t="shared" si="63"/>
        <v>41850000</v>
      </c>
      <c r="AD43" s="61">
        <f t="shared" si="64"/>
        <v>8469970.845481053</v>
      </c>
      <c r="AE43" s="2">
        <f t="shared" si="65"/>
        <v>-53537.4</v>
      </c>
      <c r="AF43" s="62">
        <f t="shared" si="73"/>
        <v>6.1348852499326289E-3</v>
      </c>
      <c r="AG43" s="65">
        <f t="shared" si="74"/>
        <v>-0.20852367486716206</v>
      </c>
      <c r="AI43" s="4">
        <f>5*AI42</f>
        <v>50</v>
      </c>
      <c r="AJ43" s="61">
        <f t="shared" si="75"/>
        <v>5.0000000000000002E-5</v>
      </c>
      <c r="AK43" s="61">
        <f t="shared" si="76"/>
        <v>32549999.999999996</v>
      </c>
      <c r="AL43" s="61">
        <f t="shared" si="77"/>
        <v>1328395.0617283944</v>
      </c>
      <c r="AM43" s="2">
        <f t="shared" si="66"/>
        <v>-53537.4</v>
      </c>
      <c r="AN43" s="62">
        <f t="shared" si="78"/>
        <v>2.4994510114909302E-2</v>
      </c>
      <c r="AO43" s="65">
        <f t="shared" si="79"/>
        <v>-6.5805418309330024E-2</v>
      </c>
    </row>
    <row r="44" spans="2:41" x14ac:dyDescent="0.3">
      <c r="H44" s="4">
        <f>10*H42</f>
        <v>100</v>
      </c>
      <c r="I44" s="61">
        <f t="shared" si="67"/>
        <v>1E-4</v>
      </c>
      <c r="J44" s="61">
        <f t="shared" si="54"/>
        <v>48825000</v>
      </c>
      <c r="K44" s="61">
        <f t="shared" si="55"/>
        <v>62766666.666666672</v>
      </c>
      <c r="L44" s="2">
        <f t="shared" si="56"/>
        <v>-53537.4</v>
      </c>
      <c r="M44" s="62">
        <f t="shared" si="68"/>
        <v>8.5239391858409562E-4</v>
      </c>
      <c r="N44" s="61">
        <f t="shared" si="69"/>
        <v>-1.2863960020428373</v>
      </c>
      <c r="O44" s="63">
        <f t="shared" si="57"/>
        <v>1.6860663076484671E-2</v>
      </c>
      <c r="P44" s="62">
        <f t="shared" si="58"/>
        <v>4.6174827507425534E-2</v>
      </c>
      <c r="Q44" s="64">
        <f t="shared" si="59"/>
        <v>9.2349655014851068E-2</v>
      </c>
      <c r="S44" s="4">
        <f>10*S42</f>
        <v>100</v>
      </c>
      <c r="T44" s="61">
        <f>T42*10</f>
        <v>9.9999999999999991E-5</v>
      </c>
      <c r="U44" s="61">
        <f t="shared" si="60"/>
        <v>29295000.000000004</v>
      </c>
      <c r="V44" s="61">
        <f t="shared" si="61"/>
        <v>9684000.0000000019</v>
      </c>
      <c r="W44" s="2">
        <f t="shared" si="62"/>
        <v>-53537.4</v>
      </c>
      <c r="X44" s="62">
        <f t="shared" si="70"/>
        <v>5.4389498322229956E-3</v>
      </c>
      <c r="Y44" s="65">
        <f t="shared" si="71"/>
        <v>-0.33600730620703101</v>
      </c>
      <c r="Z44" s="61"/>
      <c r="AA44" s="4">
        <f>10*AA42</f>
        <v>100</v>
      </c>
      <c r="AB44" s="61">
        <f t="shared" si="72"/>
        <v>1E-4</v>
      </c>
      <c r="AC44" s="61">
        <f t="shared" si="63"/>
        <v>20925000</v>
      </c>
      <c r="AD44" s="61">
        <f t="shared" si="64"/>
        <v>2117492.7113702632</v>
      </c>
      <c r="AE44" s="2">
        <f t="shared" si="65"/>
        <v>-53537.4</v>
      </c>
      <c r="AF44" s="62">
        <f t="shared" si="73"/>
        <v>2.0947292387563047E-2</v>
      </c>
      <c r="AG44" s="65">
        <f t="shared" si="74"/>
        <v>-0.12214168719617777</v>
      </c>
      <c r="AI44" s="4">
        <f>10*AI42</f>
        <v>100</v>
      </c>
      <c r="AJ44" s="61">
        <f t="shared" si="75"/>
        <v>1E-4</v>
      </c>
      <c r="AK44" s="61">
        <f t="shared" si="76"/>
        <v>16274999.999999998</v>
      </c>
      <c r="AL44" s="61">
        <f t="shared" si="77"/>
        <v>332098.76543209859</v>
      </c>
      <c r="AM44" s="2">
        <f t="shared" si="66"/>
        <v>-53537.4</v>
      </c>
      <c r="AN44" s="62">
        <f t="shared" si="78"/>
        <v>4.8052264379813324E-2</v>
      </c>
      <c r="AO44" s="65">
        <f t="shared" si="79"/>
        <v>-6.8457718477023685E-2</v>
      </c>
    </row>
    <row r="45" spans="2:41" ht="14.5" thickBot="1" x14ac:dyDescent="0.35">
      <c r="H45" s="68">
        <f>5*H44</f>
        <v>500</v>
      </c>
      <c r="I45" s="69">
        <f t="shared" si="67"/>
        <v>5.0000000000000001E-4</v>
      </c>
      <c r="J45" s="69">
        <f t="shared" si="54"/>
        <v>9765000</v>
      </c>
      <c r="K45" s="69">
        <f t="shared" si="55"/>
        <v>2510666.666666667</v>
      </c>
      <c r="L45" s="5">
        <f t="shared" si="56"/>
        <v>-53537.4</v>
      </c>
      <c r="M45" s="70">
        <f t="shared" si="68"/>
        <v>1.9799285347864657E-2</v>
      </c>
      <c r="N45" s="69">
        <f t="shared" si="69"/>
        <v>-0.27690800697271534</v>
      </c>
      <c r="O45" s="71">
        <f t="shared" si="57"/>
        <v>3.7701588784740468E-2</v>
      </c>
      <c r="P45" s="70">
        <f t="shared" si="58"/>
        <v>0.10325005315593068</v>
      </c>
      <c r="Q45" s="72">
        <f t="shared" si="59"/>
        <v>0.20650010631186136</v>
      </c>
      <c r="S45" s="68">
        <f>5*S44</f>
        <v>500</v>
      </c>
      <c r="T45" s="69">
        <f>T44*5</f>
        <v>5.0000000000000001E-4</v>
      </c>
      <c r="U45" s="69">
        <f t="shared" si="60"/>
        <v>5859000</v>
      </c>
      <c r="V45" s="69">
        <f t="shared" si="61"/>
        <v>387360</v>
      </c>
      <c r="W45" s="5">
        <f t="shared" si="62"/>
        <v>-53537.4</v>
      </c>
      <c r="X45" s="70">
        <f t="shared" si="70"/>
        <v>6.8088548789914466E-2</v>
      </c>
      <c r="Y45" s="73">
        <f t="shared" si="71"/>
        <v>-0.13420222006487606</v>
      </c>
      <c r="Z45" s="61"/>
      <c r="AA45" s="68">
        <f>5*AA44</f>
        <v>500</v>
      </c>
      <c r="AB45" s="69">
        <f t="shared" si="72"/>
        <v>5.0000000000000001E-4</v>
      </c>
      <c r="AC45" s="69">
        <f t="shared" si="63"/>
        <v>4185000</v>
      </c>
      <c r="AD45" s="69">
        <f t="shared" si="64"/>
        <v>84699.708454810534</v>
      </c>
      <c r="AE45" s="5">
        <f t="shared" si="65"/>
        <v>-53537.4</v>
      </c>
      <c r="AF45" s="70">
        <f t="shared" si="73"/>
        <v>0.10343711571279447</v>
      </c>
      <c r="AG45" s="73">
        <f t="shared" si="74"/>
        <v>-0.12367599467451743</v>
      </c>
      <c r="AI45" s="68">
        <f>5*AI44</f>
        <v>500</v>
      </c>
      <c r="AJ45" s="69">
        <f t="shared" si="75"/>
        <v>5.0000000000000001E-4</v>
      </c>
      <c r="AK45" s="69">
        <f t="shared" si="76"/>
        <v>3254999.9999999995</v>
      </c>
      <c r="AL45" s="69">
        <f t="shared" si="77"/>
        <v>13283.950617283945</v>
      </c>
      <c r="AM45" s="5">
        <f t="shared" si="66"/>
        <v>-53537.4</v>
      </c>
      <c r="AN45" s="70">
        <f t="shared" si="78"/>
        <v>0.12622443718901091</v>
      </c>
      <c r="AO45" s="73">
        <f t="shared" si="79"/>
        <v>-0.13030552800845296</v>
      </c>
    </row>
    <row r="47" spans="2:41" x14ac:dyDescent="0.3">
      <c r="I47" s="61"/>
      <c r="J47" s="61"/>
      <c r="K47" s="61"/>
      <c r="M47" s="61"/>
      <c r="N47" s="61"/>
      <c r="O47" s="61"/>
      <c r="P47" s="61"/>
      <c r="Q47" s="61"/>
    </row>
    <row r="48" spans="2:41" x14ac:dyDescent="0.3">
      <c r="I48" s="61"/>
      <c r="J48" s="61"/>
      <c r="K48" s="61"/>
      <c r="M48" s="61"/>
      <c r="N48" s="61"/>
      <c r="O48" s="61"/>
      <c r="P48" s="61"/>
      <c r="Q48" s="61"/>
    </row>
    <row r="49" spans="9:17" x14ac:dyDescent="0.3">
      <c r="I49" s="61"/>
      <c r="J49" s="61"/>
      <c r="K49" s="61"/>
      <c r="M49" s="61"/>
      <c r="N49" s="61"/>
      <c r="O49" s="61"/>
      <c r="P49" s="61"/>
      <c r="Q49" s="61"/>
    </row>
    <row r="50" spans="9:17" x14ac:dyDescent="0.3">
      <c r="I50" s="61"/>
      <c r="J50" s="61"/>
      <c r="K50" s="61"/>
      <c r="M50" s="61"/>
      <c r="N50" s="61"/>
      <c r="O50" s="61"/>
      <c r="P50" s="61"/>
      <c r="Q50" s="61"/>
    </row>
    <row r="51" spans="9:17" x14ac:dyDescent="0.3">
      <c r="I51" s="61"/>
      <c r="J51" s="61"/>
      <c r="K51" s="61"/>
      <c r="M51" s="61"/>
      <c r="N51" s="61"/>
      <c r="O51" s="61"/>
      <c r="P51" s="61"/>
      <c r="Q51" s="61"/>
    </row>
  </sheetData>
  <mergeCells count="1">
    <mergeCell ref="B32:F34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AC7E9-E4C0-4129-8D18-E4DC4685F5E5}">
  <dimension ref="A1:P36"/>
  <sheetViews>
    <sheetView zoomScale="70" zoomScaleNormal="70" workbookViewId="0"/>
  </sheetViews>
  <sheetFormatPr baseColWidth="10" defaultRowHeight="14.5" x14ac:dyDescent="0.35"/>
  <cols>
    <col min="3" max="6" width="11" bestFit="1" customWidth="1"/>
    <col min="7" max="7" width="12.81640625" bestFit="1" customWidth="1"/>
    <col min="8" max="10" width="11" bestFit="1" customWidth="1"/>
    <col min="11" max="11" width="11.90625" bestFit="1" customWidth="1"/>
    <col min="12" max="13" width="11" bestFit="1" customWidth="1"/>
    <col min="15" max="15" width="12.08984375" bestFit="1" customWidth="1"/>
    <col min="16" max="16" width="11.81640625" bestFit="1" customWidth="1"/>
  </cols>
  <sheetData>
    <row r="1" spans="2:16" ht="17" x14ac:dyDescent="0.35">
      <c r="B1" s="1" t="s">
        <v>84</v>
      </c>
      <c r="O1" s="1" t="s">
        <v>85</v>
      </c>
    </row>
    <row r="5" spans="2:16" ht="15" thickBot="1" x14ac:dyDescent="0.4"/>
    <row r="6" spans="2:16" ht="15" thickBot="1" x14ac:dyDescent="0.4">
      <c r="L6" s="120" t="s">
        <v>78</v>
      </c>
      <c r="M6" s="121"/>
    </row>
    <row r="7" spans="2:16" x14ac:dyDescent="0.35">
      <c r="B7" s="90"/>
      <c r="C7" s="91" t="s">
        <v>70</v>
      </c>
      <c r="D7" s="91" t="s">
        <v>26</v>
      </c>
      <c r="E7" s="91" t="s">
        <v>76</v>
      </c>
      <c r="F7" s="91" t="s">
        <v>71</v>
      </c>
      <c r="G7" s="91" t="s">
        <v>77</v>
      </c>
      <c r="H7" s="91" t="s">
        <v>72</v>
      </c>
      <c r="I7" s="92" t="s">
        <v>73</v>
      </c>
      <c r="J7" s="92" t="s">
        <v>74</v>
      </c>
      <c r="K7" s="91" t="s">
        <v>75</v>
      </c>
      <c r="L7" s="91">
        <v>0.1</v>
      </c>
      <c r="M7" s="93">
        <v>4000</v>
      </c>
      <c r="P7" s="100" t="s">
        <v>83</v>
      </c>
    </row>
    <row r="8" spans="2:16" ht="14.5" customHeight="1" x14ac:dyDescent="0.35">
      <c r="B8" s="118" t="s">
        <v>79</v>
      </c>
      <c r="C8">
        <v>5</v>
      </c>
      <c r="D8" s="111">
        <f t="shared" ref="D8:D9" si="0">C8/1000000</f>
        <v>5.0000000000000004E-6</v>
      </c>
      <c r="E8">
        <v>1.6139999999999999E-4</v>
      </c>
      <c r="F8">
        <v>0.3</v>
      </c>
      <c r="G8">
        <f>'Fluidization &amp; settling veloc.'!D12</f>
        <v>837</v>
      </c>
      <c r="H8" s="111">
        <f>'Fluidization &amp; settling veloc.'!M41</f>
        <v>2.1323975925865507E-6</v>
      </c>
      <c r="I8" s="112">
        <f>150*((1-F8)^2)*E8*H8/((F8^3)*D8^2)</f>
        <v>37476.17689051108</v>
      </c>
      <c r="J8" s="112">
        <f>175*(1-F8)*G8*(H8^2)/((F8^3)*D8)</f>
        <v>3.4535372548339422</v>
      </c>
      <c r="K8" s="113">
        <f>I8+J8</f>
        <v>37479.630427765915</v>
      </c>
      <c r="L8" s="114">
        <f>K8*0.1/1000000</f>
        <v>3.7479630427765913E-3</v>
      </c>
      <c r="M8" s="94">
        <f>K8*4000/1000000</f>
        <v>149.91852171106365</v>
      </c>
      <c r="P8" s="101">
        <f>H8*D8*G8/(E8*(1-F8))</f>
        <v>7.8988174234153984E-5</v>
      </c>
    </row>
    <row r="9" spans="2:16" x14ac:dyDescent="0.35">
      <c r="B9" s="118"/>
      <c r="C9">
        <v>5</v>
      </c>
      <c r="D9" s="111">
        <f t="shared" si="0"/>
        <v>5.0000000000000004E-6</v>
      </c>
      <c r="E9">
        <v>1.6139999999999999E-4</v>
      </c>
      <c r="F9">
        <v>0.5</v>
      </c>
      <c r="G9">
        <f>'Fluidization &amp; settling veloc.'!D12</f>
        <v>837</v>
      </c>
      <c r="H9" s="111">
        <f>'Fluidization &amp; settling veloc.'!X41</f>
        <v>1.3821067761227343E-5</v>
      </c>
      <c r="I9" s="112">
        <f>150*((1-F9)^2)*E9*H9/((F9^3)*D9^2)</f>
        <v>26768.644039945109</v>
      </c>
      <c r="J9" s="112">
        <f t="shared" ref="J9" si="1">175*(1-F9)*G9*(H9^2)/((F9^3)*D9)</f>
        <v>22.383947889602098</v>
      </c>
      <c r="K9" s="113">
        <f t="shared" ref="K9" si="2">I9+J9</f>
        <v>26791.02798783471</v>
      </c>
      <c r="L9" s="114">
        <f t="shared" ref="L9" si="3">K9*0.1/1000000</f>
        <v>2.6791027987834713E-3</v>
      </c>
      <c r="M9" s="94">
        <f t="shared" ref="M9" si="4">K9*4000/1000000</f>
        <v>107.16411195133884</v>
      </c>
      <c r="P9" s="101">
        <f t="shared" ref="P9:P11" si="5">H9*D9*G9/(E9*(1-F9))</f>
        <v>7.1674310508967084E-4</v>
      </c>
    </row>
    <row r="10" spans="2:16" x14ac:dyDescent="0.35">
      <c r="B10" s="118"/>
      <c r="C10">
        <v>5</v>
      </c>
      <c r="D10" s="111">
        <f>C10/1000000</f>
        <v>5.0000000000000004E-6</v>
      </c>
      <c r="E10">
        <v>1.6139999999999999E-4</v>
      </c>
      <c r="F10">
        <v>0.7</v>
      </c>
      <c r="G10">
        <f>'Fluidization &amp; settling veloc.'!D12</f>
        <v>837</v>
      </c>
      <c r="H10" s="111">
        <f>'Fluidization &amp; settling veloc.'!AF41</f>
        <v>6.3206508077743375E-5</v>
      </c>
      <c r="I10" s="112">
        <f>150*((1-F10)^2)*E10*H10/((F10^3)*D10^2)</f>
        <v>16060.718419894467</v>
      </c>
      <c r="J10" s="112">
        <f>175*(1-F10)*G10*(H10^2)/((F10^3)*D10)</f>
        <v>102.36328926277346</v>
      </c>
      <c r="K10" s="113">
        <f>I10+J10</f>
        <v>16163.081709157241</v>
      </c>
      <c r="L10" s="114">
        <f>K10*0.1/1000000</f>
        <v>1.6163081709157242E-3</v>
      </c>
      <c r="M10" s="94">
        <f>K10*4000/1000000</f>
        <v>64.652326836628973</v>
      </c>
      <c r="P10" s="101">
        <f t="shared" si="5"/>
        <v>5.4630160327417592E-3</v>
      </c>
    </row>
    <row r="11" spans="2:16" ht="15" thickBot="1" x14ac:dyDescent="0.4">
      <c r="B11" s="119"/>
      <c r="C11" s="95">
        <v>5</v>
      </c>
      <c r="D11" s="96">
        <f>C11/1000000</f>
        <v>5.0000000000000004E-6</v>
      </c>
      <c r="E11" s="95">
        <v>1.6139999999999999E-4</v>
      </c>
      <c r="F11" s="95">
        <v>0.9</v>
      </c>
      <c r="G11" s="95">
        <f>'Fluidization &amp; settling veloc.'!D12</f>
        <v>837</v>
      </c>
      <c r="H11" s="96">
        <f>'Fluidization &amp; settling veloc.'!AN41</f>
        <v>4.026259619286899E-4</v>
      </c>
      <c r="I11" s="97">
        <f>150*((1-F11)^2)*E11*H11/((F11^3)*D11^2)</f>
        <v>5348.4633954971605</v>
      </c>
      <c r="J11" s="97">
        <f>175*(1-F11)*G11*(H11^2)/((F11^3)*D11)</f>
        <v>651.43265467636297</v>
      </c>
      <c r="K11" s="98">
        <f>I11+J11</f>
        <v>5999.8960501735237</v>
      </c>
      <c r="L11" s="115">
        <f>K11*0.1/1000000</f>
        <v>5.999896050173524E-4</v>
      </c>
      <c r="M11" s="99">
        <f>K11*4000/1000000</f>
        <v>23.999584200694095</v>
      </c>
      <c r="P11" s="116">
        <f t="shared" si="5"/>
        <v>0.10439836745177002</v>
      </c>
    </row>
    <row r="32" spans="1:7" x14ac:dyDescent="0.35">
      <c r="A32" s="1" t="s">
        <v>86</v>
      </c>
      <c r="B32" s="2"/>
      <c r="C32" s="2"/>
      <c r="D32" s="2"/>
      <c r="E32" s="2"/>
      <c r="F32" s="2"/>
      <c r="G32" s="2"/>
    </row>
    <row r="33" spans="1:7" x14ac:dyDescent="0.35">
      <c r="A33" s="2">
        <v>1</v>
      </c>
      <c r="B33" s="2" t="s">
        <v>66</v>
      </c>
      <c r="C33" s="2"/>
      <c r="D33" s="2"/>
      <c r="E33" s="2"/>
      <c r="F33" s="2"/>
      <c r="G33" s="2"/>
    </row>
    <row r="34" spans="1:7" x14ac:dyDescent="0.35">
      <c r="A34" s="2"/>
      <c r="B34" s="102"/>
      <c r="C34" s="102"/>
      <c r="D34" s="102"/>
      <c r="E34" s="102"/>
      <c r="F34" s="102"/>
      <c r="G34" s="102"/>
    </row>
    <row r="35" spans="1:7" x14ac:dyDescent="0.35">
      <c r="A35" s="2"/>
      <c r="B35" s="102"/>
      <c r="C35" s="102"/>
      <c r="D35" s="102"/>
      <c r="E35" s="102"/>
      <c r="F35" s="102"/>
      <c r="G35" s="102"/>
    </row>
    <row r="36" spans="1:7" x14ac:dyDescent="0.35">
      <c r="A36" s="2"/>
      <c r="B36" s="102"/>
      <c r="C36" s="102"/>
      <c r="D36" s="102"/>
      <c r="E36" s="102"/>
      <c r="F36" s="102"/>
      <c r="G36" s="102"/>
    </row>
  </sheetData>
  <mergeCells count="2">
    <mergeCell ref="B8:B11"/>
    <mergeCell ref="L6:M6"/>
  </mergeCells>
  <pageMargins left="0.7" right="0.7" top="0.75" bottom="0.75" header="0.3" footer="0.3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5B690-2633-4620-A016-7E11E6113EFF}">
  <dimension ref="A1:G83"/>
  <sheetViews>
    <sheetView zoomScale="80" zoomScaleNormal="80" workbookViewId="0"/>
  </sheetViews>
  <sheetFormatPr baseColWidth="10" defaultRowHeight="14" x14ac:dyDescent="0.3"/>
  <cols>
    <col min="1" max="1" width="20.6328125" style="2" customWidth="1"/>
    <col min="2" max="7" width="16.08984375" style="2" customWidth="1"/>
    <col min="8" max="16384" width="10.90625" style="2"/>
  </cols>
  <sheetData>
    <row r="1" spans="1:7" x14ac:dyDescent="0.3">
      <c r="A1" s="11" t="s">
        <v>10</v>
      </c>
      <c r="B1" s="24">
        <v>0</v>
      </c>
      <c r="C1" s="24">
        <v>1</v>
      </c>
      <c r="D1" s="24">
        <v>2</v>
      </c>
      <c r="E1" s="24">
        <v>3</v>
      </c>
      <c r="F1" s="24">
        <v>4</v>
      </c>
      <c r="G1" s="25">
        <v>5</v>
      </c>
    </row>
    <row r="2" spans="1:7" x14ac:dyDescent="0.3">
      <c r="A2" s="12" t="s">
        <v>9</v>
      </c>
      <c r="B2" s="20">
        <v>0</v>
      </c>
      <c r="C2" s="20">
        <v>5</v>
      </c>
      <c r="D2" s="20">
        <v>10</v>
      </c>
      <c r="E2" s="20">
        <v>15</v>
      </c>
      <c r="F2" s="20">
        <v>19</v>
      </c>
      <c r="G2" s="21">
        <v>23</v>
      </c>
    </row>
    <row r="3" spans="1:7" ht="47" customHeight="1" x14ac:dyDescent="0.3">
      <c r="A3" s="19" t="s">
        <v>17</v>
      </c>
      <c r="B3" s="35" t="s">
        <v>11</v>
      </c>
      <c r="C3" s="35" t="s">
        <v>12</v>
      </c>
      <c r="D3" s="35" t="s">
        <v>13</v>
      </c>
      <c r="E3" s="35" t="s">
        <v>14</v>
      </c>
      <c r="F3" s="35" t="s">
        <v>15</v>
      </c>
      <c r="G3" s="36" t="s">
        <v>16</v>
      </c>
    </row>
    <row r="4" spans="1:7" ht="17" thickBot="1" x14ac:dyDescent="0.35">
      <c r="A4" s="3" t="s">
        <v>1</v>
      </c>
      <c r="B4" s="26">
        <v>0.98050000000000004</v>
      </c>
      <c r="C4" s="26">
        <v>0.98109999999999997</v>
      </c>
      <c r="D4" s="26">
        <v>0.98140000000000005</v>
      </c>
      <c r="E4" s="26">
        <v>0.98160000000000003</v>
      </c>
      <c r="F4" s="26">
        <v>0.98160000000000003</v>
      </c>
      <c r="G4" s="27">
        <v>0.98150000000000004</v>
      </c>
    </row>
    <row r="5" spans="1:7" ht="34" customHeight="1" thickBot="1" x14ac:dyDescent="0.35">
      <c r="A5" s="43" t="s">
        <v>7</v>
      </c>
      <c r="B5" s="122" t="s">
        <v>8</v>
      </c>
      <c r="C5" s="122"/>
      <c r="D5" s="122"/>
      <c r="E5" s="122"/>
      <c r="F5" s="122"/>
      <c r="G5" s="123"/>
    </row>
    <row r="6" spans="1:7" x14ac:dyDescent="0.3">
      <c r="A6" s="22">
        <v>20</v>
      </c>
      <c r="B6" s="10">
        <v>990.2</v>
      </c>
      <c r="C6" s="10">
        <v>1089.0999999999999</v>
      </c>
      <c r="D6" s="10">
        <v>1211.3</v>
      </c>
      <c r="E6" s="10">
        <v>1359.5</v>
      </c>
      <c r="F6" s="10">
        <v>1536.5</v>
      </c>
      <c r="G6" s="28">
        <v>1744.6</v>
      </c>
    </row>
    <row r="7" spans="1:7" x14ac:dyDescent="0.3">
      <c r="A7" s="22">
        <v>25</v>
      </c>
      <c r="B7" s="10">
        <v>883.9</v>
      </c>
      <c r="C7" s="10">
        <v>974</v>
      </c>
      <c r="D7" s="10">
        <v>1083.9000000000001</v>
      </c>
      <c r="E7" s="10">
        <v>1215.8</v>
      </c>
      <c r="F7" s="10">
        <v>1372.4</v>
      </c>
      <c r="G7" s="28">
        <v>1556.2</v>
      </c>
    </row>
    <row r="8" spans="1:7" x14ac:dyDescent="0.3">
      <c r="A8" s="22">
        <v>30</v>
      </c>
      <c r="B8" s="10">
        <v>795.1</v>
      </c>
      <c r="C8" s="10">
        <v>877.8</v>
      </c>
      <c r="D8" s="10">
        <v>977.3</v>
      </c>
      <c r="E8" s="10">
        <v>1095.7</v>
      </c>
      <c r="F8" s="10">
        <v>1235.5</v>
      </c>
      <c r="G8" s="28">
        <v>1399.1</v>
      </c>
    </row>
    <row r="9" spans="1:7" x14ac:dyDescent="0.3">
      <c r="A9" s="22">
        <v>35</v>
      </c>
      <c r="B9" s="10">
        <v>719.9</v>
      </c>
      <c r="C9" s="10">
        <v>796.3</v>
      </c>
      <c r="D9" s="10">
        <v>887</v>
      </c>
      <c r="E9" s="10">
        <v>994.1</v>
      </c>
      <c r="F9" s="10">
        <v>1119.9000000000001</v>
      </c>
      <c r="G9" s="28">
        <v>1266.8</v>
      </c>
    </row>
    <row r="10" spans="1:7" x14ac:dyDescent="0.3">
      <c r="A10" s="22">
        <v>40</v>
      </c>
      <c r="B10" s="10">
        <v>655.7</v>
      </c>
      <c r="C10" s="10">
        <v>726.7</v>
      </c>
      <c r="D10" s="10">
        <v>809.9</v>
      </c>
      <c r="E10" s="10">
        <v>907.4</v>
      </c>
      <c r="F10" s="10">
        <v>1021.3</v>
      </c>
      <c r="G10" s="28">
        <v>1154</v>
      </c>
    </row>
    <row r="11" spans="1:7" x14ac:dyDescent="0.3">
      <c r="A11" s="22">
        <v>45</v>
      </c>
      <c r="B11" s="10">
        <v>600.4</v>
      </c>
      <c r="C11" s="10">
        <v>666.6</v>
      </c>
      <c r="D11" s="10">
        <v>743.5</v>
      </c>
      <c r="E11" s="10">
        <v>832.7</v>
      </c>
      <c r="F11" s="10">
        <v>936.5</v>
      </c>
      <c r="G11" s="28">
        <v>1057.0999999999999</v>
      </c>
    </row>
    <row r="12" spans="1:7" x14ac:dyDescent="0.3">
      <c r="A12" s="22">
        <v>50</v>
      </c>
      <c r="B12" s="10">
        <v>552.4</v>
      </c>
      <c r="C12" s="10">
        <v>614.4</v>
      </c>
      <c r="D12" s="10">
        <v>685.7</v>
      </c>
      <c r="E12" s="10">
        <v>767.9</v>
      </c>
      <c r="F12" s="10">
        <v>862.9</v>
      </c>
      <c r="G12" s="28">
        <v>973.2</v>
      </c>
    </row>
    <row r="13" spans="1:7" x14ac:dyDescent="0.3">
      <c r="A13" s="22">
        <v>55</v>
      </c>
      <c r="B13" s="10">
        <v>510.4</v>
      </c>
      <c r="C13" s="10">
        <v>568.79999999999995</v>
      </c>
      <c r="D13" s="10">
        <v>635.20000000000005</v>
      </c>
      <c r="E13" s="10">
        <v>711.1</v>
      </c>
      <c r="F13" s="10">
        <v>798.6</v>
      </c>
      <c r="G13" s="28">
        <v>899.8</v>
      </c>
    </row>
    <row r="14" spans="1:7" x14ac:dyDescent="0.3">
      <c r="A14" s="22">
        <v>60</v>
      </c>
      <c r="B14" s="10">
        <v>473.5</v>
      </c>
      <c r="C14" s="10">
        <v>528.5</v>
      </c>
      <c r="D14" s="10">
        <v>590.6</v>
      </c>
      <c r="E14" s="10">
        <v>661.2</v>
      </c>
      <c r="F14" s="10">
        <v>742</v>
      </c>
      <c r="G14" s="28">
        <v>835.4</v>
      </c>
    </row>
    <row r="15" spans="1:7" x14ac:dyDescent="0.3">
      <c r="A15" s="22">
        <v>65</v>
      </c>
      <c r="B15" s="10">
        <v>440.8</v>
      </c>
      <c r="C15" s="10">
        <v>492.9</v>
      </c>
      <c r="D15" s="10">
        <v>551.1</v>
      </c>
      <c r="E15" s="10">
        <v>616.9</v>
      </c>
      <c r="F15" s="10">
        <v>691.9</v>
      </c>
      <c r="G15" s="28">
        <v>778.4</v>
      </c>
    </row>
    <row r="16" spans="1:7" x14ac:dyDescent="0.3">
      <c r="A16" s="22">
        <v>70</v>
      </c>
      <c r="B16" s="10">
        <v>411.8</v>
      </c>
      <c r="C16" s="10">
        <v>461.2</v>
      </c>
      <c r="D16" s="10">
        <v>516</v>
      </c>
      <c r="E16" s="10">
        <v>577.5</v>
      </c>
      <c r="F16" s="10">
        <v>647.4</v>
      </c>
      <c r="G16" s="28">
        <v>727.7</v>
      </c>
    </row>
    <row r="17" spans="1:7" x14ac:dyDescent="0.3">
      <c r="A17" s="22">
        <v>75</v>
      </c>
      <c r="B17" s="10">
        <v>385.8</v>
      </c>
      <c r="C17" s="10">
        <v>432.8</v>
      </c>
      <c r="D17" s="10">
        <v>484.5</v>
      </c>
      <c r="E17" s="10">
        <v>542.20000000000005</v>
      </c>
      <c r="F17" s="10">
        <v>607.5</v>
      </c>
      <c r="G17" s="28">
        <v>682.5</v>
      </c>
    </row>
    <row r="18" spans="1:7" x14ac:dyDescent="0.3">
      <c r="A18" s="22">
        <v>80</v>
      </c>
      <c r="B18" s="10">
        <v>362.5</v>
      </c>
      <c r="C18" s="10">
        <v>407.2</v>
      </c>
      <c r="D18" s="10">
        <v>456.2</v>
      </c>
      <c r="E18" s="10">
        <v>510.5</v>
      </c>
      <c r="F18" s="10">
        <v>571.70000000000005</v>
      </c>
      <c r="G18" s="28">
        <v>641.79999999999995</v>
      </c>
    </row>
    <row r="19" spans="1:7" x14ac:dyDescent="0.3">
      <c r="A19" s="22">
        <v>85</v>
      </c>
      <c r="B19" s="10">
        <v>341.5</v>
      </c>
      <c r="C19" s="10">
        <v>384.2</v>
      </c>
      <c r="D19" s="10">
        <v>430.7</v>
      </c>
      <c r="E19" s="10">
        <v>481.9</v>
      </c>
      <c r="F19" s="10">
        <v>539.4</v>
      </c>
      <c r="G19" s="28">
        <v>605.1</v>
      </c>
    </row>
    <row r="20" spans="1:7" x14ac:dyDescent="0.3">
      <c r="A20" s="22">
        <v>90</v>
      </c>
      <c r="B20" s="10">
        <v>322.5</v>
      </c>
      <c r="C20" s="10">
        <v>363.4</v>
      </c>
      <c r="D20" s="10">
        <v>407.6</v>
      </c>
      <c r="E20" s="10">
        <v>456</v>
      </c>
      <c r="F20" s="10">
        <v>510.1</v>
      </c>
      <c r="G20" s="28">
        <v>572</v>
      </c>
    </row>
    <row r="21" spans="1:7" x14ac:dyDescent="0.3">
      <c r="A21" s="22">
        <v>95</v>
      </c>
      <c r="B21" s="10">
        <v>305.3</v>
      </c>
      <c r="C21" s="10">
        <v>344.5</v>
      </c>
      <c r="D21" s="10">
        <v>386.5</v>
      </c>
      <c r="E21" s="10">
        <v>432.4</v>
      </c>
      <c r="F21" s="10">
        <v>483.6</v>
      </c>
      <c r="G21" s="28">
        <v>541.9</v>
      </c>
    </row>
    <row r="22" spans="1:7" x14ac:dyDescent="0.3">
      <c r="A22" s="22">
        <v>100</v>
      </c>
      <c r="B22" s="10">
        <v>289.7</v>
      </c>
      <c r="C22" s="10">
        <v>327.2</v>
      </c>
      <c r="D22" s="10">
        <v>367.4</v>
      </c>
      <c r="E22" s="10">
        <v>411</v>
      </c>
      <c r="F22" s="10">
        <v>459.4</v>
      </c>
      <c r="G22" s="28">
        <v>514.4</v>
      </c>
    </row>
    <row r="23" spans="1:7" x14ac:dyDescent="0.3">
      <c r="A23" s="22">
        <v>105</v>
      </c>
      <c r="B23" s="10">
        <v>275.39999999999998</v>
      </c>
      <c r="C23" s="10">
        <v>311.5</v>
      </c>
      <c r="D23" s="10">
        <v>349.9</v>
      </c>
      <c r="E23" s="10">
        <v>391.4</v>
      </c>
      <c r="F23" s="10">
        <v>437.2</v>
      </c>
      <c r="G23" s="28">
        <v>489.4</v>
      </c>
    </row>
    <row r="24" spans="1:7" x14ac:dyDescent="0.3">
      <c r="A24" s="22">
        <v>110</v>
      </c>
      <c r="B24" s="10">
        <v>262.39999999999998</v>
      </c>
      <c r="C24" s="10">
        <v>297.10000000000002</v>
      </c>
      <c r="D24" s="10">
        <v>333.8</v>
      </c>
      <c r="E24" s="10">
        <v>373.4</v>
      </c>
      <c r="F24" s="10">
        <v>417</v>
      </c>
      <c r="G24" s="28">
        <v>466.4</v>
      </c>
    </row>
    <row r="25" spans="1:7" x14ac:dyDescent="0.3">
      <c r="A25" s="22">
        <v>115</v>
      </c>
      <c r="B25" s="10">
        <v>250.4</v>
      </c>
      <c r="C25" s="10">
        <v>283.89999999999998</v>
      </c>
      <c r="D25" s="10">
        <v>319.10000000000002</v>
      </c>
      <c r="E25" s="10">
        <v>356.9</v>
      </c>
      <c r="F25" s="10">
        <v>398.4</v>
      </c>
      <c r="G25" s="28">
        <v>445.4</v>
      </c>
    </row>
    <row r="26" spans="1:7" x14ac:dyDescent="0.3">
      <c r="A26" s="22">
        <v>120</v>
      </c>
      <c r="B26" s="10">
        <v>239.5</v>
      </c>
      <c r="C26" s="10">
        <v>271.7</v>
      </c>
      <c r="D26" s="10">
        <v>305.60000000000002</v>
      </c>
      <c r="E26" s="10">
        <v>341.7</v>
      </c>
      <c r="F26" s="10">
        <v>381.3</v>
      </c>
      <c r="G26" s="28">
        <v>426</v>
      </c>
    </row>
    <row r="27" spans="1:7" x14ac:dyDescent="0.3">
      <c r="A27" s="22">
        <v>125</v>
      </c>
      <c r="B27" s="10">
        <v>229.4</v>
      </c>
      <c r="C27" s="10">
        <v>260.60000000000002</v>
      </c>
      <c r="D27" s="10">
        <v>293.10000000000002</v>
      </c>
      <c r="E27" s="10">
        <v>327.7</v>
      </c>
      <c r="F27" s="10">
        <v>365.5</v>
      </c>
      <c r="G27" s="28">
        <v>408.2</v>
      </c>
    </row>
    <row r="28" spans="1:7" x14ac:dyDescent="0.3">
      <c r="A28" s="22">
        <v>130</v>
      </c>
      <c r="B28" s="29">
        <v>220.1</v>
      </c>
      <c r="C28" s="29">
        <v>250.2</v>
      </c>
      <c r="D28" s="10">
        <v>281.60000000000002</v>
      </c>
      <c r="E28" s="10">
        <v>314.8</v>
      </c>
      <c r="F28" s="29">
        <v>351</v>
      </c>
      <c r="G28" s="30">
        <v>391.8</v>
      </c>
    </row>
    <row r="29" spans="1:7" x14ac:dyDescent="0.3">
      <c r="A29" s="22">
        <v>135</v>
      </c>
      <c r="B29" s="10">
        <v>211.5</v>
      </c>
      <c r="C29" s="10">
        <v>240.7</v>
      </c>
      <c r="D29" s="10">
        <v>270.89999999999998</v>
      </c>
      <c r="E29" s="29">
        <v>302.89999999999998</v>
      </c>
      <c r="F29" s="10">
        <v>337.5</v>
      </c>
      <c r="G29" s="28">
        <v>376.6</v>
      </c>
    </row>
    <row r="30" spans="1:7" x14ac:dyDescent="0.3">
      <c r="A30" s="22">
        <v>140</v>
      </c>
      <c r="B30" s="10">
        <v>203.6</v>
      </c>
      <c r="C30" s="10">
        <v>231.9</v>
      </c>
      <c r="D30" s="10">
        <v>261.10000000000002</v>
      </c>
      <c r="E30" s="10">
        <v>291.8</v>
      </c>
      <c r="F30" s="10">
        <v>325.10000000000002</v>
      </c>
      <c r="G30" s="28">
        <v>362.6</v>
      </c>
    </row>
    <row r="31" spans="1:7" x14ac:dyDescent="0.3">
      <c r="A31" s="22">
        <v>145</v>
      </c>
      <c r="B31" s="10">
        <v>196.2</v>
      </c>
      <c r="C31" s="10">
        <v>223.7</v>
      </c>
      <c r="D31" s="10">
        <v>252</v>
      </c>
      <c r="E31" s="10">
        <v>281.60000000000002</v>
      </c>
      <c r="F31" s="10">
        <v>313.60000000000002</v>
      </c>
      <c r="G31" s="28">
        <v>349.6</v>
      </c>
    </row>
    <row r="32" spans="1:7" x14ac:dyDescent="0.3">
      <c r="A32" s="32">
        <v>150</v>
      </c>
      <c r="B32" s="33">
        <v>189.4</v>
      </c>
      <c r="C32" s="33">
        <v>216.1</v>
      </c>
      <c r="D32" s="33">
        <v>243.5</v>
      </c>
      <c r="E32" s="33">
        <v>272.10000000000002</v>
      </c>
      <c r="F32" s="33">
        <v>303</v>
      </c>
      <c r="G32" s="34">
        <v>337.6</v>
      </c>
    </row>
    <row r="33" spans="1:7" x14ac:dyDescent="0.3">
      <c r="A33" s="22">
        <v>155</v>
      </c>
      <c r="B33" s="6">
        <f>15363*A33^-0.865</f>
        <v>195.81191359787536</v>
      </c>
      <c r="C33" s="6">
        <f>15850*A33^-0.845</f>
        <v>223.45958177030261</v>
      </c>
      <c r="D33" s="6">
        <f>17848*A33^-0.838</f>
        <v>260.67032547662711</v>
      </c>
      <c r="E33" s="6">
        <f>19429*A33^-0.84</f>
        <v>280.91298965586907</v>
      </c>
      <c r="F33" s="6">
        <f>22488*A33^-0.847</f>
        <v>313.86282850186285</v>
      </c>
      <c r="G33" s="7">
        <f>26327*A33^-0.857</f>
        <v>349.37120525487035</v>
      </c>
    </row>
    <row r="34" spans="1:7" x14ac:dyDescent="0.3">
      <c r="A34" s="22">
        <v>160</v>
      </c>
      <c r="B34" s="6">
        <f t="shared" ref="B34:B82" si="0">15363*A34^-0.865</f>
        <v>190.50757355169944</v>
      </c>
      <c r="C34" s="6">
        <f t="shared" ref="C34:C82" si="1">15850*A34^-0.845</f>
        <v>217.54438647012717</v>
      </c>
      <c r="D34" s="6">
        <f t="shared" ref="D34:D82" si="2">17848*A34^-0.838</f>
        <v>253.82652949292066</v>
      </c>
      <c r="E34" s="6">
        <f t="shared" ref="E34:E82" si="3">19429*A34^-0.84</f>
        <v>273.52036217235326</v>
      </c>
      <c r="F34" s="6">
        <f t="shared" ref="F34:F82" si="4">22488*A34^-0.847</f>
        <v>305.53516888424389</v>
      </c>
      <c r="G34" s="7">
        <f t="shared" ref="G34:G82" si="5">26327*A34^-0.857</f>
        <v>339.99344835154255</v>
      </c>
    </row>
    <row r="35" spans="1:7" x14ac:dyDescent="0.3">
      <c r="A35" s="22">
        <v>165</v>
      </c>
      <c r="B35" s="6">
        <f t="shared" si="0"/>
        <v>185.50363271159551</v>
      </c>
      <c r="C35" s="6">
        <f t="shared" si="1"/>
        <v>211.96069443188162</v>
      </c>
      <c r="D35" s="6">
        <f t="shared" si="2"/>
        <v>247.36486403211498</v>
      </c>
      <c r="E35" s="6">
        <f t="shared" si="3"/>
        <v>266.54094622268951</v>
      </c>
      <c r="F35" s="6">
        <f t="shared" si="4"/>
        <v>297.67470496115885</v>
      </c>
      <c r="G35" s="7">
        <f t="shared" si="5"/>
        <v>331.14456635717545</v>
      </c>
    </row>
    <row r="36" spans="1:7" x14ac:dyDescent="0.3">
      <c r="A36" s="22">
        <v>170</v>
      </c>
      <c r="B36" s="6">
        <f t="shared" si="0"/>
        <v>180.77472667223324</v>
      </c>
      <c r="C36" s="6">
        <f t="shared" si="1"/>
        <v>206.68070200613408</v>
      </c>
      <c r="D36" s="6">
        <f t="shared" si="2"/>
        <v>241.25335476021823</v>
      </c>
      <c r="E36" s="6">
        <f t="shared" si="3"/>
        <v>259.94014347845877</v>
      </c>
      <c r="F36" s="6">
        <f t="shared" si="4"/>
        <v>290.24222599783786</v>
      </c>
      <c r="G36" s="7">
        <f t="shared" si="5"/>
        <v>322.7800227127056</v>
      </c>
    </row>
    <row r="37" spans="1:7" x14ac:dyDescent="0.3">
      <c r="A37" s="22">
        <v>175</v>
      </c>
      <c r="B37" s="6">
        <f t="shared" si="0"/>
        <v>176.29829752901227</v>
      </c>
      <c r="C37" s="6">
        <f t="shared" si="1"/>
        <v>201.67966691776698</v>
      </c>
      <c r="D37" s="6">
        <f t="shared" si="2"/>
        <v>235.46354188999078</v>
      </c>
      <c r="E37" s="6">
        <f t="shared" si="3"/>
        <v>253.68716045174742</v>
      </c>
      <c r="F37" s="6">
        <f t="shared" si="4"/>
        <v>283.20284075198316</v>
      </c>
      <c r="G37" s="7">
        <f t="shared" si="5"/>
        <v>314.86019908185784</v>
      </c>
    </row>
    <row r="38" spans="1:7" x14ac:dyDescent="0.3">
      <c r="A38" s="22">
        <v>180</v>
      </c>
      <c r="B38" s="6">
        <f t="shared" si="0"/>
        <v>172.05421387734381</v>
      </c>
      <c r="C38" s="6">
        <f t="shared" si="1"/>
        <v>196.93549534118793</v>
      </c>
      <c r="D38" s="6">
        <f t="shared" si="2"/>
        <v>229.97000676873969</v>
      </c>
      <c r="E38" s="6">
        <f t="shared" si="3"/>
        <v>247.75449578295874</v>
      </c>
      <c r="F38" s="6">
        <f t="shared" si="4"/>
        <v>276.52539462746137</v>
      </c>
      <c r="G38" s="7">
        <f t="shared" si="5"/>
        <v>307.34973044178849</v>
      </c>
    </row>
    <row r="39" spans="1:7" x14ac:dyDescent="0.3">
      <c r="A39" s="22">
        <v>185</v>
      </c>
      <c r="B39" s="6">
        <f t="shared" si="0"/>
        <v>168.02445116099176</v>
      </c>
      <c r="C39" s="6">
        <f t="shared" si="1"/>
        <v>192.42839434802892</v>
      </c>
      <c r="D39" s="6">
        <f t="shared" si="2"/>
        <v>224.74997333229103</v>
      </c>
      <c r="E39" s="6">
        <f t="shared" si="3"/>
        <v>242.11750863526427</v>
      </c>
      <c r="F39" s="6">
        <f t="shared" si="4"/>
        <v>270.18197913072828</v>
      </c>
      <c r="G39" s="7">
        <f t="shared" si="5"/>
        <v>300.21694563775026</v>
      </c>
    </row>
    <row r="40" spans="1:7" x14ac:dyDescent="0.3">
      <c r="A40" s="22">
        <v>190</v>
      </c>
      <c r="B40" s="6">
        <f t="shared" si="0"/>
        <v>164.19282144679642</v>
      </c>
      <c r="C40" s="6">
        <f t="shared" si="1"/>
        <v>188.14057792670766</v>
      </c>
      <c r="D40" s="6">
        <f t="shared" si="2"/>
        <v>219.78297092328557</v>
      </c>
      <c r="E40" s="6">
        <f t="shared" si="3"/>
        <v>236.75405356453285</v>
      </c>
      <c r="F40" s="6">
        <f t="shared" si="4"/>
        <v>264.14751696366221</v>
      </c>
      <c r="G40" s="7">
        <f t="shared" si="5"/>
        <v>293.43339433383449</v>
      </c>
    </row>
    <row r="41" spans="1:7" x14ac:dyDescent="0.3">
      <c r="A41" s="22">
        <v>195</v>
      </c>
      <c r="B41" s="6">
        <f t="shared" si="0"/>
        <v>160.54474390982887</v>
      </c>
      <c r="C41" s="6">
        <f t="shared" si="1"/>
        <v>184.05601715188371</v>
      </c>
      <c r="D41" s="6">
        <f t="shared" si="2"/>
        <v>215.05054769137158</v>
      </c>
      <c r="E41" s="6">
        <f t="shared" si="3"/>
        <v>231.64417018110655</v>
      </c>
      <c r="F41" s="6">
        <f t="shared" si="4"/>
        <v>258.39940944670701</v>
      </c>
      <c r="G41" s="7">
        <f t="shared" si="5"/>
        <v>286.97344514064804</v>
      </c>
    </row>
    <row r="42" spans="1:7" x14ac:dyDescent="0.3">
      <c r="A42" s="22">
        <v>200</v>
      </c>
      <c r="B42" s="6">
        <f t="shared" si="0"/>
        <v>157.06704902980781</v>
      </c>
      <c r="C42" s="6">
        <f t="shared" si="1"/>
        <v>180.16022693346414</v>
      </c>
      <c r="D42" s="6">
        <f t="shared" si="2"/>
        <v>210.53602591013961</v>
      </c>
      <c r="E42" s="6">
        <f t="shared" si="3"/>
        <v>226.76981821456653</v>
      </c>
      <c r="F42" s="6">
        <f t="shared" si="4"/>
        <v>252.91723558174476</v>
      </c>
      <c r="G42" s="7">
        <f t="shared" si="5"/>
        <v>280.8139426957855</v>
      </c>
    </row>
    <row r="43" spans="1:7" x14ac:dyDescent="0.3">
      <c r="A43" s="22">
        <v>205</v>
      </c>
      <c r="B43" s="6">
        <f t="shared" si="0"/>
        <v>153.74781084456646</v>
      </c>
      <c r="C43" s="6">
        <f t="shared" si="1"/>
        <v>176.44008322619106</v>
      </c>
      <c r="D43" s="6">
        <f t="shared" si="2"/>
        <v>206.22429220558331</v>
      </c>
      <c r="E43" s="6">
        <f t="shared" si="3"/>
        <v>222.11465039161357</v>
      </c>
      <c r="F43" s="6">
        <f t="shared" si="4"/>
        <v>247.68249411418802</v>
      </c>
      <c r="G43" s="7">
        <f t="shared" si="5"/>
        <v>274.93391381977142</v>
      </c>
    </row>
    <row r="44" spans="1:7" x14ac:dyDescent="0.3">
      <c r="A44" s="22">
        <v>210</v>
      </c>
      <c r="B44" s="6">
        <f t="shared" si="0"/>
        <v>150.57620266694252</v>
      </c>
      <c r="C44" s="6">
        <f t="shared" si="1"/>
        <v>172.88366572596777</v>
      </c>
      <c r="D44" s="6">
        <f t="shared" si="2"/>
        <v>202.10161700079894</v>
      </c>
      <c r="E44" s="6">
        <f t="shared" si="3"/>
        <v>217.66381695677893</v>
      </c>
      <c r="F44" s="6">
        <f t="shared" si="4"/>
        <v>242.6783815711602</v>
      </c>
      <c r="G44" s="7">
        <f t="shared" si="5"/>
        <v>269.31431472119095</v>
      </c>
    </row>
    <row r="45" spans="1:7" x14ac:dyDescent="0.3">
      <c r="A45" s="22">
        <v>215</v>
      </c>
      <c r="B45" s="6">
        <f t="shared" si="0"/>
        <v>147.54237251304036</v>
      </c>
      <c r="C45" s="6">
        <f t="shared" si="1"/>
        <v>169.48012198822155</v>
      </c>
      <c r="D45" s="6">
        <f t="shared" si="2"/>
        <v>198.15549852180314</v>
      </c>
      <c r="E45" s="6">
        <f t="shared" si="3"/>
        <v>213.40379679284649</v>
      </c>
      <c r="F45" s="6">
        <f t="shared" si="4"/>
        <v>237.88960053665181</v>
      </c>
      <c r="G45" s="7">
        <f t="shared" si="5"/>
        <v>263.93781269382521</v>
      </c>
    </row>
    <row r="46" spans="1:7" x14ac:dyDescent="0.3">
      <c r="A46" s="22">
        <v>220</v>
      </c>
      <c r="B46" s="6">
        <f t="shared" si="0"/>
        <v>144.63733516156765</v>
      </c>
      <c r="C46" s="6">
        <f t="shared" si="1"/>
        <v>166.21954962964784</v>
      </c>
      <c r="D46" s="6">
        <f t="shared" si="2"/>
        <v>194.37452754017968</v>
      </c>
      <c r="E46" s="6">
        <f t="shared" si="3"/>
        <v>209.32225099817288</v>
      </c>
      <c r="F46" s="6">
        <f t="shared" si="4"/>
        <v>233.30219344990888</v>
      </c>
      <c r="G46" s="7">
        <f t="shared" si="5"/>
        <v>258.78859692149689</v>
      </c>
    </row>
    <row r="47" spans="1:7" x14ac:dyDescent="0.3">
      <c r="A47" s="22">
        <v>225</v>
      </c>
      <c r="B47" s="6">
        <f t="shared" si="0"/>
        <v>141.8528783031509</v>
      </c>
      <c r="C47" s="6">
        <f t="shared" si="1"/>
        <v>163.09289385775367</v>
      </c>
      <c r="D47" s="6">
        <f t="shared" si="2"/>
        <v>190.74826969561801</v>
      </c>
      <c r="E47" s="6">
        <f t="shared" si="3"/>
        <v>205.40789550117816</v>
      </c>
      <c r="F47" s="6">
        <f t="shared" si="4"/>
        <v>228.90339803672671</v>
      </c>
      <c r="G47" s="7">
        <f t="shared" si="5"/>
        <v>253.85221394797486</v>
      </c>
    </row>
    <row r="48" spans="1:7" x14ac:dyDescent="0.3">
      <c r="A48" s="22">
        <v>230</v>
      </c>
      <c r="B48" s="6">
        <f t="shared" si="0"/>
        <v>139.18148067366477</v>
      </c>
      <c r="C48" s="6">
        <f t="shared" si="1"/>
        <v>160.09185804338983</v>
      </c>
      <c r="D48" s="6">
        <f t="shared" si="2"/>
        <v>187.2671627803002</v>
      </c>
      <c r="E48" s="6">
        <f t="shared" si="3"/>
        <v>201.65038987618391</v>
      </c>
      <c r="F48" s="6">
        <f t="shared" si="4"/>
        <v>224.68152114810724</v>
      </c>
      <c r="G48" s="7">
        <f t="shared" si="5"/>
        <v>249.1154241293317</v>
      </c>
    </row>
    <row r="49" spans="1:7" x14ac:dyDescent="0.3">
      <c r="A49" s="22">
        <v>235</v>
      </c>
      <c r="B49" s="6">
        <f t="shared" si="0"/>
        <v>136.61624041855453</v>
      </c>
      <c r="C49" s="6">
        <f t="shared" si="1"/>
        <v>157.20882543348424</v>
      </c>
      <c r="D49" s="6">
        <f t="shared" si="2"/>
        <v>183.92242680447941</v>
      </c>
      <c r="E49" s="6">
        <f t="shared" si="3"/>
        <v>198.04023999864205</v>
      </c>
      <c r="F49" s="6">
        <f t="shared" si="4"/>
        <v>220.62582832018151</v>
      </c>
      <c r="G49" s="7">
        <f t="shared" si="5"/>
        <v>244.56607600274936</v>
      </c>
    </row>
    <row r="50" spans="1:7" x14ac:dyDescent="0.3">
      <c r="A50" s="22">
        <v>240</v>
      </c>
      <c r="B50" s="6">
        <f t="shared" si="0"/>
        <v>134.15081222278346</v>
      </c>
      <c r="C50" s="6">
        <f t="shared" si="1"/>
        <v>154.43679041268592</v>
      </c>
      <c r="D50" s="6">
        <f t="shared" si="2"/>
        <v>180.70598501928868</v>
      </c>
      <c r="E50" s="6">
        <f t="shared" si="3"/>
        <v>194.56871256425211</v>
      </c>
      <c r="F50" s="6">
        <f t="shared" si="4"/>
        <v>216.72644680913149</v>
      </c>
      <c r="G50" s="7">
        <f t="shared" si="5"/>
        <v>240.19299600839491</v>
      </c>
    </row>
    <row r="51" spans="1:7" x14ac:dyDescent="0.3">
      <c r="A51" s="22">
        <v>245</v>
      </c>
      <c r="B51" s="6">
        <f t="shared" si="0"/>
        <v>131.77935197657925</v>
      </c>
      <c r="C51" s="6">
        <f t="shared" si="1"/>
        <v>151.7692979778293</v>
      </c>
      <c r="D51" s="6">
        <f t="shared" si="2"/>
        <v>177.61039436508713</v>
      </c>
      <c r="E51" s="6">
        <f t="shared" si="3"/>
        <v>191.22775981307896</v>
      </c>
      <c r="F51" s="6">
        <f t="shared" si="4"/>
        <v>212.97428021516313</v>
      </c>
      <c r="G51" s="7">
        <f t="shared" si="5"/>
        <v>235.98589141265484</v>
      </c>
    </row>
    <row r="52" spans="1:7" x14ac:dyDescent="0.3">
      <c r="A52" s="22">
        <v>250</v>
      </c>
      <c r="B52" s="6">
        <f t="shared" si="0"/>
        <v>129.49646794087764</v>
      </c>
      <c r="C52" s="6">
        <f t="shared" si="1"/>
        <v>149.20039029908199</v>
      </c>
      <c r="D52" s="6">
        <f t="shared" si="2"/>
        <v>174.62878405415557</v>
      </c>
      <c r="E52" s="6">
        <f t="shared" si="3"/>
        <v>188.00995306032615</v>
      </c>
      <c r="F52" s="6">
        <f t="shared" si="4"/>
        <v>209.36093310602351</v>
      </c>
      <c r="G52" s="7">
        <f t="shared" si="5"/>
        <v>231.93526461961935</v>
      </c>
    </row>
    <row r="53" spans="1:7" x14ac:dyDescent="0.3">
      <c r="A53" s="22">
        <v>255</v>
      </c>
      <c r="B53" s="6">
        <f t="shared" si="0"/>
        <v>127.29717753635971</v>
      </c>
      <c r="C53" s="6">
        <f t="shared" si="1"/>
        <v>146.72455941514829</v>
      </c>
      <c r="D53" s="6">
        <f t="shared" si="2"/>
        <v>171.75480119531429</v>
      </c>
      <c r="E53" s="6">
        <f t="shared" si="3"/>
        <v>184.90842385073026</v>
      </c>
      <c r="F53" s="6">
        <f t="shared" si="4"/>
        <v>205.87864429549859</v>
      </c>
      <c r="G53" s="7">
        <f t="shared" si="5"/>
        <v>228.0323373374523</v>
      </c>
    </row>
    <row r="54" spans="1:7" x14ac:dyDescent="0.3">
      <c r="A54" s="22">
        <v>260</v>
      </c>
      <c r="B54" s="6">
        <f t="shared" si="0"/>
        <v>125.17686901267076</v>
      </c>
      <c r="C54" s="6">
        <f t="shared" si="1"/>
        <v>144.33670525383573</v>
      </c>
      <c r="D54" s="6">
        <f t="shared" si="2"/>
        <v>168.98256253297313</v>
      </c>
      <c r="E54" s="6">
        <f t="shared" si="3"/>
        <v>181.91681173219118</v>
      </c>
      <c r="F54" s="6">
        <f t="shared" si="4"/>
        <v>202.52022763554606</v>
      </c>
      <c r="G54" s="7">
        <f t="shared" si="5"/>
        <v>224.26898329828896</v>
      </c>
    </row>
    <row r="55" spans="1:7" x14ac:dyDescent="0.3">
      <c r="A55" s="22">
        <v>265</v>
      </c>
      <c r="B55" s="6">
        <f t="shared" si="0"/>
        <v>123.1312673648717</v>
      </c>
      <c r="C55" s="6">
        <f t="shared" si="1"/>
        <v>142.03209828917565</v>
      </c>
      <c r="D55" s="6">
        <f t="shared" si="2"/>
        <v>166.30661151049043</v>
      </c>
      <c r="E55" s="6">
        <f t="shared" si="3"/>
        <v>179.02921779305373</v>
      </c>
      <c r="F55" s="6">
        <f t="shared" si="4"/>
        <v>199.2790193499396</v>
      </c>
      <c r="G55" s="7">
        <f t="shared" si="5"/>
        <v>220.63766842349264</v>
      </c>
    </row>
    <row r="56" spans="1:7" x14ac:dyDescent="0.3">
      <c r="A56" s="22">
        <v>270</v>
      </c>
      <c r="B56" s="6">
        <f t="shared" si="0"/>
        <v>121.15640395647816</v>
      </c>
      <c r="C56" s="6">
        <f t="shared" si="1"/>
        <v>139.80634624650239</v>
      </c>
      <c r="D56" s="6">
        <f t="shared" si="2"/>
        <v>163.7218799825911</v>
      </c>
      <c r="E56" s="6">
        <f t="shared" si="3"/>
        <v>176.24016323187007</v>
      </c>
      <c r="F56" s="6">
        <f t="shared" si="4"/>
        <v>196.14883107878174</v>
      </c>
      <c r="G56" s="7">
        <f t="shared" si="5"/>
        <v>217.13139748756234</v>
      </c>
    </row>
    <row r="57" spans="1:7" x14ac:dyDescent="0.3">
      <c r="A57" s="22">
        <v>275</v>
      </c>
      <c r="B57" s="6">
        <f t="shared" si="0"/>
        <v>119.24858938585764</v>
      </c>
      <c r="C57" s="6">
        <f t="shared" si="1"/>
        <v>137.65536435097908</v>
      </c>
      <c r="D57" s="6">
        <f t="shared" si="2"/>
        <v>161.223653997963</v>
      </c>
      <c r="E57" s="6">
        <f t="shared" si="3"/>
        <v>173.54455233284813</v>
      </c>
      <c r="F57" s="6">
        <f t="shared" si="4"/>
        <v>193.12390792191806</v>
      </c>
      <c r="G57" s="7">
        <f t="shared" si="5"/>
        <v>213.74366646940786</v>
      </c>
    </row>
    <row r="58" spans="1:7" x14ac:dyDescent="0.3">
      <c r="A58" s="22">
        <v>280</v>
      </c>
      <c r="B58" s="6">
        <f t="shared" si="0"/>
        <v>117.40438919789067</v>
      </c>
      <c r="C58" s="6">
        <f t="shared" si="1"/>
        <v>135.57534868582977</v>
      </c>
      <c r="D58" s="6">
        <f t="shared" si="2"/>
        <v>158.80754315429604</v>
      </c>
      <c r="E58" s="6">
        <f t="shared" si="3"/>
        <v>170.93763930807546</v>
      </c>
      <c r="F58" s="6">
        <f t="shared" si="4"/>
        <v>190.1988908691896</v>
      </c>
      <c r="G58" s="7">
        <f t="shared" si="5"/>
        <v>210.46841989367655</v>
      </c>
    </row>
    <row r="59" spans="1:7" x14ac:dyDescent="0.3">
      <c r="A59" s="22">
        <v>285</v>
      </c>
      <c r="B59" s="6">
        <f t="shared" si="0"/>
        <v>115.62060209779889</v>
      </c>
      <c r="C59" s="6">
        <f t="shared" si="1"/>
        <v>133.56275228631768</v>
      </c>
      <c r="D59" s="6">
        <f t="shared" si="2"/>
        <v>156.46945309657102</v>
      </c>
      <c r="E59" s="6">
        <f t="shared" si="3"/>
        <v>168.41499854183533</v>
      </c>
      <c r="F59" s="6">
        <f t="shared" si="4"/>
        <v>187.36878308983927</v>
      </c>
      <c r="G59" s="7">
        <f t="shared" si="5"/>
        <v>207.30001256107067</v>
      </c>
    </row>
    <row r="60" spans="1:7" x14ac:dyDescent="0.3">
      <c r="A60" s="22">
        <v>290</v>
      </c>
      <c r="B60" s="6">
        <f t="shared" si="0"/>
        <v>113.89424037062845</v>
      </c>
      <c r="C60" s="6">
        <f t="shared" si="1"/>
        <v>131.6142636461669</v>
      </c>
      <c r="D60" s="6">
        <f t="shared" si="2"/>
        <v>154.20556078749115</v>
      </c>
      <c r="E60" s="6">
        <f t="shared" si="3"/>
        <v>165.97249783523861</v>
      </c>
      <c r="F60" s="6">
        <f t="shared" si="4"/>
        <v>184.6289196248776</v>
      </c>
      <c r="G60" s="7">
        <f t="shared" si="5"/>
        <v>204.23317514811086</v>
      </c>
    </row>
    <row r="61" spans="1:7" x14ac:dyDescent="0.3">
      <c r="A61" s="22">
        <v>295</v>
      </c>
      <c r="B61" s="6">
        <f t="shared" si="0"/>
        <v>112.22251224944215</v>
      </c>
      <c r="C61" s="6">
        <f t="shared" si="1"/>
        <v>129.72678735616009</v>
      </c>
      <c r="D61" s="6">
        <f t="shared" si="2"/>
        <v>152.01229222831404</v>
      </c>
      <c r="E61" s="6">
        <f t="shared" si="3"/>
        <v>163.60627430285066</v>
      </c>
      <c r="F61" s="6">
        <f t="shared" si="4"/>
        <v>181.97494008696452</v>
      </c>
      <c r="G61" s="7">
        <f t="shared" si="5"/>
        <v>201.26298322607983</v>
      </c>
    </row>
    <row r="62" spans="1:7" x14ac:dyDescent="0.3">
      <c r="A62" s="22">
        <v>300</v>
      </c>
      <c r="B62" s="6">
        <f t="shared" si="0"/>
        <v>110.6028060090029</v>
      </c>
      <c r="C62" s="6">
        <f t="shared" si="1"/>
        <v>127.89742663135091</v>
      </c>
      <c r="D62" s="6">
        <f t="shared" si="2"/>
        <v>149.88630235043794</v>
      </c>
      <c r="E62" s="6">
        <f t="shared" si="3"/>
        <v>161.31271261857617</v>
      </c>
      <c r="F62" s="6">
        <f t="shared" si="4"/>
        <v>179.40276402415233</v>
      </c>
      <c r="G62" s="7">
        <f t="shared" si="5"/>
        <v>198.38482930791579</v>
      </c>
    </row>
    <row r="63" spans="1:7" x14ac:dyDescent="0.3">
      <c r="A63" s="22">
        <v>305</v>
      </c>
      <c r="B63" s="6">
        <f t="shared" si="0"/>
        <v>109.03267559053677</v>
      </c>
      <c r="C63" s="6">
        <f t="shared" si="1"/>
        <v>126.12346751468239</v>
      </c>
      <c r="D63" s="6">
        <f t="shared" si="2"/>
        <v>147.82445683406903</v>
      </c>
      <c r="E63" s="6">
        <f t="shared" si="3"/>
        <v>159.08842534702217</v>
      </c>
      <c r="F63" s="6">
        <f t="shared" si="4"/>
        <v>176.9085686480978</v>
      </c>
      <c r="G63" s="7">
        <f t="shared" si="5"/>
        <v>195.59439758227205</v>
      </c>
    </row>
    <row r="64" spans="1:7" x14ac:dyDescent="0.3">
      <c r="A64" s="22">
        <v>310</v>
      </c>
      <c r="B64" s="6">
        <f t="shared" si="0"/>
        <v>107.50982758785875</v>
      </c>
      <c r="C64" s="6">
        <f t="shared" si="1"/>
        <v>124.40236457169792</v>
      </c>
      <c r="D64" s="6">
        <f t="shared" si="2"/>
        <v>145.82381564115246</v>
      </c>
      <c r="E64" s="6">
        <f t="shared" si="3"/>
        <v>156.9302351299585</v>
      </c>
      <c r="F64" s="6">
        <f t="shared" si="4"/>
        <v>174.4887686652938</v>
      </c>
      <c r="G64" s="7">
        <f t="shared" si="5"/>
        <v>192.88764103720408</v>
      </c>
    </row>
    <row r="65" spans="1:7" x14ac:dyDescent="0.3">
      <c r="A65" s="22">
        <v>315</v>
      </c>
      <c r="B65" s="6">
        <f t="shared" si="0"/>
        <v>106.03210944635222</v>
      </c>
      <c r="C65" s="6">
        <f t="shared" si="1"/>
        <v>122.73172791413067</v>
      </c>
      <c r="D65" s="6">
        <f t="shared" si="2"/>
        <v>143.88161807624985</v>
      </c>
      <c r="E65" s="6">
        <f t="shared" si="3"/>
        <v>154.83515852620565</v>
      </c>
      <c r="F65" s="6">
        <f t="shared" si="4"/>
        <v>172.13999798247244</v>
      </c>
      <c r="G65" s="7">
        <f t="shared" si="5"/>
        <v>190.2607607130885</v>
      </c>
    </row>
    <row r="66" spans="1:7" x14ac:dyDescent="0.3">
      <c r="A66" s="22">
        <v>320</v>
      </c>
      <c r="B66" s="6">
        <f t="shared" si="0"/>
        <v>104.59749874456455</v>
      </c>
      <c r="C66" s="6">
        <f t="shared" si="1"/>
        <v>121.10931141006785</v>
      </c>
      <c r="D66" s="6">
        <f t="shared" si="2"/>
        <v>141.99526921190747</v>
      </c>
      <c r="E66" s="6">
        <f t="shared" si="3"/>
        <v>152.80039132801281</v>
      </c>
      <c r="F66" s="6">
        <f t="shared" si="4"/>
        <v>169.85909308543009</v>
      </c>
      <c r="G66" s="7">
        <f t="shared" si="5"/>
        <v>187.7101868563889</v>
      </c>
    </row>
    <row r="67" spans="1:7" x14ac:dyDescent="0.3">
      <c r="A67" s="22">
        <v>325</v>
      </c>
      <c r="B67" s="6">
        <f t="shared" si="0"/>
        <v>103.20409344395641</v>
      </c>
      <c r="C67" s="6">
        <f t="shared" si="1"/>
        <v>119.53300195558202</v>
      </c>
      <c r="D67" s="6">
        <f t="shared" si="2"/>
        <v>140.16232753478215</v>
      </c>
      <c r="E67" s="6">
        <f t="shared" si="3"/>
        <v>150.82329519835756</v>
      </c>
      <c r="F67" s="6">
        <f t="shared" si="4"/>
        <v>167.64307791478382</v>
      </c>
      <c r="G67" s="7">
        <f t="shared" si="5"/>
        <v>185.23256177351593</v>
      </c>
    </row>
    <row r="68" spans="1:7" x14ac:dyDescent="0.3">
      <c r="A68" s="22">
        <v>330</v>
      </c>
      <c r="B68" s="6">
        <f t="shared" si="0"/>
        <v>101.85010300599771</v>
      </c>
      <c r="C68" s="6">
        <f t="shared" si="1"/>
        <v>118.00080969761089</v>
      </c>
      <c r="D68" s="6">
        <f t="shared" si="2"/>
        <v>138.38049368589213</v>
      </c>
      <c r="E68" s="6">
        <f t="shared" si="3"/>
        <v>148.90138549210511</v>
      </c>
      <c r="F68" s="6">
        <f t="shared" si="4"/>
        <v>165.48915008318326</v>
      </c>
      <c r="G68" s="7">
        <f t="shared" si="5"/>
        <v>182.82472420795773</v>
      </c>
    </row>
    <row r="69" spans="1:7" x14ac:dyDescent="0.3">
      <c r="A69" s="22">
        <v>335</v>
      </c>
      <c r="B69" s="6">
        <f t="shared" si="0"/>
        <v>100.53384028764617</v>
      </c>
      <c r="C69" s="6">
        <f t="shared" si="1"/>
        <v>116.51085911078681</v>
      </c>
      <c r="D69" s="6">
        <f t="shared" si="2"/>
        <v>136.647600183186</v>
      </c>
      <c r="E69" s="6">
        <f t="shared" si="3"/>
        <v>147.03232014001566</v>
      </c>
      <c r="F69" s="6">
        <f t="shared" si="4"/>
        <v>163.39466829672526</v>
      </c>
      <c r="G69" s="7">
        <f t="shared" si="5"/>
        <v>180.48369508461485</v>
      </c>
    </row>
    <row r="70" spans="1:7" x14ac:dyDescent="0.3">
      <c r="A70" s="37">
        <v>340</v>
      </c>
      <c r="B70" s="38">
        <f t="shared" si="0"/>
        <v>99.25371413654868</v>
      </c>
      <c r="C70" s="38">
        <f t="shared" si="1"/>
        <v>115.06138084215536</v>
      </c>
      <c r="D70" s="38">
        <f t="shared" si="2"/>
        <v>134.96160202753134</v>
      </c>
      <c r="E70" s="38">
        <f t="shared" si="3"/>
        <v>145.21388948856469</v>
      </c>
      <c r="F70" s="38">
        <f t="shared" si="4"/>
        <v>161.35714085918278</v>
      </c>
      <c r="G70" s="39">
        <f t="shared" si="5"/>
        <v>178.20666448332327</v>
      </c>
    </row>
    <row r="71" spans="1:7" x14ac:dyDescent="0.3">
      <c r="A71" s="22">
        <v>345</v>
      </c>
      <c r="B71" s="6">
        <f t="shared" si="0"/>
        <v>98.008222616277109</v>
      </c>
      <c r="C71" s="6">
        <f t="shared" si="1"/>
        <v>113.65070424751933</v>
      </c>
      <c r="D71" s="6">
        <f t="shared" si="2"/>
        <v>133.32056810446772</v>
      </c>
      <c r="E71" s="6">
        <f t="shared" si="3"/>
        <v>143.44400700071304</v>
      </c>
      <c r="F71" s="6">
        <f t="shared" si="4"/>
        <v>159.37421515147591</v>
      </c>
      <c r="G71" s="7">
        <f t="shared" si="5"/>
        <v>175.99097971928526</v>
      </c>
    </row>
    <row r="72" spans="1:7" x14ac:dyDescent="0.3">
      <c r="A72" s="22">
        <v>350</v>
      </c>
      <c r="B72" s="6">
        <f t="shared" si="0"/>
        <v>96.795946799749828</v>
      </c>
      <c r="C72" s="6">
        <f t="shared" si="1"/>
        <v>112.2772505517014</v>
      </c>
      <c r="D72" s="6">
        <f t="shared" si="2"/>
        <v>131.72267330389906</v>
      </c>
      <c r="E72" s="6">
        <f t="shared" si="3"/>
        <v>141.72070073340058</v>
      </c>
      <c r="F72" s="6">
        <f t="shared" si="4"/>
        <v>157.44366799088343</v>
      </c>
      <c r="G72" s="7">
        <f t="shared" si="5"/>
        <v>173.83413442186486</v>
      </c>
    </row>
    <row r="73" spans="1:7" x14ac:dyDescent="0.3">
      <c r="A73" s="22">
        <v>355</v>
      </c>
      <c r="B73" s="6">
        <f t="shared" si="0"/>
        <v>95.615545075847507</v>
      </c>
      <c r="C73" s="6">
        <f t="shared" si="1"/>
        <v>110.93952657250482</v>
      </c>
      <c r="D73" s="6">
        <f t="shared" si="2"/>
        <v>130.16619128849891</v>
      </c>
      <c r="E73" s="6">
        <f t="shared" si="3"/>
        <v>140.04210551684992</v>
      </c>
      <c r="F73" s="6">
        <f t="shared" si="4"/>
        <v>155.56339678506603</v>
      </c>
      <c r="G73" s="7">
        <f t="shared" si="5"/>
        <v>171.73375851522783</v>
      </c>
    </row>
    <row r="74" spans="1:7" x14ac:dyDescent="0.3">
      <c r="A74" s="22">
        <v>360</v>
      </c>
      <c r="B74" s="6">
        <f t="shared" si="0"/>
        <v>94.465747920245718</v>
      </c>
      <c r="C74" s="6">
        <f t="shared" si="1"/>
        <v>109.63611895472661</v>
      </c>
      <c r="D74" s="6">
        <f t="shared" si="2"/>
        <v>128.64948784914986</v>
      </c>
      <c r="E74" s="6">
        <f t="shared" si="3"/>
        <v>138.40645576893391</v>
      </c>
      <c r="F74" s="6">
        <f t="shared" si="4"/>
        <v>153.7314114052337</v>
      </c>
      <c r="G74" s="7">
        <f t="shared" si="5"/>
        <v>169.6876090148551</v>
      </c>
    </row>
    <row r="75" spans="1:7" x14ac:dyDescent="0.3">
      <c r="A75" s="22">
        <v>365</v>
      </c>
      <c r="B75" s="6">
        <f t="shared" si="0"/>
        <v>93.345353086765996</v>
      </c>
      <c r="C75" s="6">
        <f t="shared" si="1"/>
        <v>108.36568886634207</v>
      </c>
      <c r="D75" s="6">
        <f t="shared" si="2"/>
        <v>127.17101479236447</v>
      </c>
      <c r="E75" s="6">
        <f t="shared" si="3"/>
        <v>136.8120788850336</v>
      </c>
      <c r="F75" s="6">
        <f t="shared" si="4"/>
        <v>151.94582671093133</v>
      </c>
      <c r="G75" s="7">
        <f t="shared" si="5"/>
        <v>167.6935615632114</v>
      </c>
    </row>
    <row r="76" spans="1:7" x14ac:dyDescent="0.3">
      <c r="A76" s="22">
        <v>370</v>
      </c>
      <c r="B76" s="6">
        <f t="shared" si="0"/>
        <v>92.253221180199034</v>
      </c>
      <c r="C76" s="6">
        <f t="shared" si="1"/>
        <v>107.12696711406498</v>
      </c>
      <c r="D76" s="6">
        <f t="shared" si="2"/>
        <v>125.72930431047689</v>
      </c>
      <c r="E76" s="6">
        <f t="shared" si="3"/>
        <v>135.25738915013517</v>
      </c>
      <c r="F76" s="6">
        <f t="shared" si="4"/>
        <v>150.20485566608932</v>
      </c>
      <c r="G76" s="7">
        <f t="shared" si="5"/>
        <v>165.7496026360144</v>
      </c>
    </row>
    <row r="77" spans="1:7" x14ac:dyDescent="0.3">
      <c r="A77" s="22">
        <v>375</v>
      </c>
      <c r="B77" s="6">
        <f t="shared" si="0"/>
        <v>91.188271575649409</v>
      </c>
      <c r="C77" s="6">
        <f t="shared" si="1"/>
        <v>105.91874963997003</v>
      </c>
      <c r="D77" s="6">
        <f t="shared" si="2"/>
        <v>124.32296379053996</v>
      </c>
      <c r="E77" s="6">
        <f t="shared" si="3"/>
        <v>133.74088212548682</v>
      </c>
      <c r="F77" s="6">
        <f t="shared" si="4"/>
        <v>148.50680299230388</v>
      </c>
      <c r="G77" s="7">
        <f t="shared" si="5"/>
        <v>163.85382235773162</v>
      </c>
    </row>
    <row r="78" spans="1:7" x14ac:dyDescent="0.3">
      <c r="A78" s="22">
        <v>380</v>
      </c>
      <c r="B78" s="6">
        <f t="shared" si="0"/>
        <v>90.149478653073714</v>
      </c>
      <c r="C78" s="6">
        <f t="shared" si="1"/>
        <v>104.73989336481755</v>
      </c>
      <c r="D78" s="6">
        <f t="shared" si="2"/>
        <v>122.95067102241235</v>
      </c>
      <c r="E78" s="6">
        <f t="shared" si="3"/>
        <v>132.26112946705697</v>
      </c>
      <c r="F78" s="6">
        <f t="shared" si="4"/>
        <v>146.85005931089628</v>
      </c>
      <c r="G78" s="7">
        <f t="shared" si="5"/>
        <v>162.00440787128662</v>
      </c>
    </row>
    <row r="79" spans="1:7" x14ac:dyDescent="0.3">
      <c r="A79" s="22">
        <v>385</v>
      </c>
      <c r="B79" s="6">
        <f t="shared" si="0"/>
        <v>89.135868318884278</v>
      </c>
      <c r="C79" s="6">
        <f t="shared" si="1"/>
        <v>103.58931234723266</v>
      </c>
      <c r="D79" s="6">
        <f t="shared" si="2"/>
        <v>121.61116977054962</v>
      </c>
      <c r="E79" s="6">
        <f t="shared" si="3"/>
        <v>130.81677413739831</v>
      </c>
      <c r="F79" s="6">
        <f t="shared" si="4"/>
        <v>145.23309573024443</v>
      </c>
      <c r="G79" s="7">
        <f t="shared" si="5"/>
        <v>160.19963721257369</v>
      </c>
    </row>
    <row r="80" spans="1:7" x14ac:dyDescent="0.3">
      <c r="A80" s="22">
        <v>390</v>
      </c>
      <c r="B80" s="6">
        <f t="shared" si="0"/>
        <v>88.14651478933267</v>
      </c>
      <c r="C80" s="6">
        <f t="shared" si="1"/>
        <v>102.46597423098859</v>
      </c>
      <c r="D80" s="6">
        <f t="shared" si="2"/>
        <v>120.30326567757798</v>
      </c>
      <c r="E80" s="6">
        <f t="shared" si="3"/>
        <v>129.40652597638149</v>
      </c>
      <c r="F80" s="6">
        <f t="shared" si="4"/>
        <v>143.6544588392612</v>
      </c>
      <c r="G80" s="7">
        <f t="shared" si="5"/>
        <v>158.43787364536234</v>
      </c>
    </row>
    <row r="81" spans="1:7" x14ac:dyDescent="0.3">
      <c r="A81" s="22">
        <v>395</v>
      </c>
      <c r="B81" s="6">
        <f t="shared" si="0"/>
        <v>87.18053761290227</v>
      </c>
      <c r="C81" s="6">
        <f t="shared" si="1"/>
        <v>101.36889695540886</v>
      </c>
      <c r="D81" s="6">
        <f t="shared" si="2"/>
        <v>119.02582247090562</v>
      </c>
      <c r="E81" s="6">
        <f t="shared" si="3"/>
        <v>128.029157599694</v>
      </c>
      <c r="F81" s="6">
        <f t="shared" si="4"/>
        <v>142.11276607178306</v>
      </c>
      <c r="G81" s="7">
        <f t="shared" si="5"/>
        <v>156.71756041659395</v>
      </c>
    </row>
    <row r="82" spans="1:7" ht="14.5" thickBot="1" x14ac:dyDescent="0.35">
      <c r="A82" s="23">
        <v>400</v>
      </c>
      <c r="B82" s="8">
        <f t="shared" si="0"/>
        <v>86.237098911185115</v>
      </c>
      <c r="C82" s="8">
        <f t="shared" si="1"/>
        <v>100.29714570635252</v>
      </c>
      <c r="D82" s="8">
        <f t="shared" si="2"/>
        <v>117.77775844644006</v>
      </c>
      <c r="E82" s="8">
        <f t="shared" si="3"/>
        <v>126.68350059705527</v>
      </c>
      <c r="F82" s="8">
        <f t="shared" si="4"/>
        <v>140.60670141009308</v>
      </c>
      <c r="G82" s="9">
        <f t="shared" si="5"/>
        <v>155.03721589600457</v>
      </c>
    </row>
    <row r="83" spans="1:7" x14ac:dyDescent="0.3">
      <c r="A83" s="31" t="s">
        <v>18</v>
      </c>
      <c r="B83" s="10"/>
      <c r="C83" s="10"/>
      <c r="D83" s="10"/>
      <c r="E83" s="10"/>
      <c r="F83" s="10"/>
      <c r="G83" s="10"/>
    </row>
  </sheetData>
  <mergeCells count="1">
    <mergeCell ref="B5:G5"/>
  </mergeCells>
  <phoneticPr fontId="4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4E429-B844-4159-A0CE-78C2E84E224B}">
  <dimension ref="A1:D93"/>
  <sheetViews>
    <sheetView zoomScale="80" zoomScaleNormal="80" workbookViewId="0"/>
  </sheetViews>
  <sheetFormatPr baseColWidth="10" defaultRowHeight="14" x14ac:dyDescent="0.3"/>
  <cols>
    <col min="1" max="1" width="9.1796875" style="2" customWidth="1"/>
    <col min="2" max="2" width="14" style="2" customWidth="1"/>
    <col min="3" max="3" width="15.54296875" style="2" customWidth="1"/>
    <col min="4" max="4" width="17.08984375" style="2" customWidth="1"/>
    <col min="5" max="16384" width="10.90625" style="2"/>
  </cols>
  <sheetData>
    <row r="1" spans="1:4" ht="32.5" customHeight="1" thickBot="1" x14ac:dyDescent="0.35">
      <c r="A1" s="40"/>
      <c r="B1" s="41" t="s">
        <v>5</v>
      </c>
      <c r="C1" s="41" t="s">
        <v>4</v>
      </c>
      <c r="D1" s="42" t="s">
        <v>2</v>
      </c>
    </row>
    <row r="2" spans="1:4" x14ac:dyDescent="0.3">
      <c r="A2" s="4">
        <v>1</v>
      </c>
      <c r="B2" s="6">
        <v>17.958363416000001</v>
      </c>
      <c r="C2" s="14">
        <v>341.6</v>
      </c>
      <c r="D2" s="7">
        <v>849.72452284334202</v>
      </c>
    </row>
    <row r="3" spans="1:4" x14ac:dyDescent="0.3">
      <c r="A3" s="4">
        <v>2</v>
      </c>
      <c r="B3" s="6">
        <v>17.871992097</v>
      </c>
      <c r="C3" s="14">
        <v>349.6</v>
      </c>
      <c r="D3" s="7">
        <v>838.7682381044275</v>
      </c>
    </row>
    <row r="4" spans="1:4" x14ac:dyDescent="0.3">
      <c r="A4" s="4">
        <v>3</v>
      </c>
      <c r="B4" s="6">
        <v>17.958363416000001</v>
      </c>
      <c r="C4" s="14">
        <v>291.3</v>
      </c>
      <c r="D4" s="7">
        <v>909.62315419092079</v>
      </c>
    </row>
    <row r="5" spans="1:4" x14ac:dyDescent="0.3">
      <c r="A5" s="4">
        <v>4</v>
      </c>
      <c r="B5" s="6">
        <v>18.215034124999999</v>
      </c>
      <c r="C5" s="14">
        <v>351.5</v>
      </c>
      <c r="D5" s="7">
        <v>840.13552761418634</v>
      </c>
    </row>
    <row r="6" spans="1:4" x14ac:dyDescent="0.3">
      <c r="A6" s="4">
        <v>5</v>
      </c>
      <c r="B6" s="6">
        <v>18.129881087999998</v>
      </c>
      <c r="C6" s="14">
        <v>289.39999999999998</v>
      </c>
      <c r="D6" s="7">
        <v>913.38803833818315</v>
      </c>
    </row>
    <row r="7" spans="1:4" x14ac:dyDescent="0.3">
      <c r="A7" s="4">
        <v>6</v>
      </c>
      <c r="B7" s="6">
        <v>18.215034124999999</v>
      </c>
      <c r="C7" s="14">
        <v>289.60000000000002</v>
      </c>
      <c r="D7" s="7">
        <v>913.95708589071955</v>
      </c>
    </row>
    <row r="8" spans="1:4" x14ac:dyDescent="0.3">
      <c r="A8" s="4">
        <v>7</v>
      </c>
      <c r="B8" s="6">
        <v>18.299787752</v>
      </c>
      <c r="C8" s="14">
        <v>343.1</v>
      </c>
      <c r="D8" s="7">
        <v>851.51222159637291</v>
      </c>
    </row>
    <row r="9" spans="1:4" x14ac:dyDescent="0.3">
      <c r="A9" s="4">
        <v>8</v>
      </c>
      <c r="B9" s="6">
        <v>18.468110144000001</v>
      </c>
      <c r="C9" s="14">
        <v>346.9</v>
      </c>
      <c r="D9" s="7">
        <v>848.61515306238061</v>
      </c>
    </row>
    <row r="10" spans="1:4" x14ac:dyDescent="0.3">
      <c r="A10" s="4">
        <v>9</v>
      </c>
      <c r="B10" s="6">
        <v>18.215034124999999</v>
      </c>
      <c r="C10" s="14">
        <v>342.1</v>
      </c>
      <c r="D10" s="7">
        <v>851.84433399001671</v>
      </c>
    </row>
    <row r="11" spans="1:4" x14ac:dyDescent="0.3">
      <c r="A11" s="4">
        <v>10</v>
      </c>
      <c r="B11" s="6">
        <v>18.215034124999999</v>
      </c>
      <c r="C11" s="14">
        <v>376.4</v>
      </c>
      <c r="D11" s="7">
        <v>808.22003931682627</v>
      </c>
    </row>
    <row r="12" spans="1:4" x14ac:dyDescent="0.3">
      <c r="A12" s="4">
        <v>11</v>
      </c>
      <c r="B12" s="6">
        <v>18.299787752</v>
      </c>
      <c r="C12" s="14">
        <v>363.8</v>
      </c>
      <c r="D12" s="7">
        <v>825.49802815238354</v>
      </c>
    </row>
    <row r="13" spans="1:4" x14ac:dyDescent="0.3">
      <c r="A13" s="4">
        <v>12</v>
      </c>
      <c r="B13" s="6">
        <v>18.215034124999999</v>
      </c>
      <c r="C13" s="14">
        <v>317.3</v>
      </c>
      <c r="D13" s="7">
        <v>881.87104684728308</v>
      </c>
    </row>
    <row r="14" spans="1:4" x14ac:dyDescent="0.3">
      <c r="A14" s="4">
        <v>13</v>
      </c>
      <c r="B14" s="6">
        <v>17.958363416000001</v>
      </c>
      <c r="C14" s="14">
        <v>340.1</v>
      </c>
      <c r="D14" s="7">
        <v>851.58630633135533</v>
      </c>
    </row>
    <row r="15" spans="1:4" x14ac:dyDescent="0.3">
      <c r="A15" s="4">
        <v>14</v>
      </c>
      <c r="B15" s="6">
        <v>17.958363416000001</v>
      </c>
      <c r="C15" s="14">
        <v>320.60000000000002</v>
      </c>
      <c r="D15" s="7">
        <v>875.36260918985215</v>
      </c>
    </row>
    <row r="16" spans="1:4" x14ac:dyDescent="0.3">
      <c r="A16" s="4">
        <v>15</v>
      </c>
      <c r="B16" s="6">
        <v>18.044325299</v>
      </c>
      <c r="C16" s="14">
        <v>327.39999999999998</v>
      </c>
      <c r="D16" s="7">
        <v>868.04333335419176</v>
      </c>
    </row>
    <row r="17" spans="1:4" x14ac:dyDescent="0.3">
      <c r="A17" s="4">
        <v>16</v>
      </c>
      <c r="B17" s="6">
        <v>17.958363416000001</v>
      </c>
      <c r="C17" s="14">
        <v>339.1</v>
      </c>
      <c r="D17" s="7">
        <v>852.82486686547577</v>
      </c>
    </row>
    <row r="18" spans="1:4" x14ac:dyDescent="0.3">
      <c r="A18" s="4">
        <v>17</v>
      </c>
      <c r="B18" s="6">
        <v>17.871992097</v>
      </c>
      <c r="C18" s="14">
        <v>332</v>
      </c>
      <c r="D18" s="7">
        <v>860.65918682258916</v>
      </c>
    </row>
    <row r="19" spans="1:4" x14ac:dyDescent="0.3">
      <c r="A19" s="4">
        <v>18</v>
      </c>
      <c r="B19" s="6">
        <v>18.044325299</v>
      </c>
      <c r="C19" s="14">
        <v>363.4</v>
      </c>
      <c r="D19" s="7">
        <v>823.10607478241366</v>
      </c>
    </row>
    <row r="20" spans="1:4" x14ac:dyDescent="0.3">
      <c r="A20" s="4">
        <v>19</v>
      </c>
      <c r="B20" s="6">
        <v>17.958363416000001</v>
      </c>
      <c r="C20" s="14">
        <v>346.6</v>
      </c>
      <c r="D20" s="7">
        <v>843.48427308204259</v>
      </c>
    </row>
    <row r="21" spans="1:4" x14ac:dyDescent="0.3">
      <c r="A21" s="4">
        <v>20</v>
      </c>
      <c r="B21" s="6">
        <v>18.044325299</v>
      </c>
      <c r="C21" s="14">
        <v>367.1</v>
      </c>
      <c r="D21" s="7">
        <v>818.33105095847179</v>
      </c>
    </row>
    <row r="22" spans="1:4" x14ac:dyDescent="0.3">
      <c r="A22" s="4">
        <v>21</v>
      </c>
      <c r="B22" s="6">
        <v>17.958363416000001</v>
      </c>
      <c r="C22" s="14">
        <v>353.3</v>
      </c>
      <c r="D22" s="7">
        <v>835.03898248569635</v>
      </c>
    </row>
    <row r="23" spans="1:4" x14ac:dyDescent="0.3">
      <c r="A23" s="4">
        <v>22</v>
      </c>
      <c r="B23" s="6">
        <v>17.871992097</v>
      </c>
      <c r="C23" s="14">
        <v>323.8</v>
      </c>
      <c r="D23" s="7">
        <v>870.63552176220071</v>
      </c>
    </row>
    <row r="24" spans="1:4" x14ac:dyDescent="0.3">
      <c r="A24" s="4">
        <v>23</v>
      </c>
      <c r="B24" s="6">
        <v>18.215034124999999</v>
      </c>
      <c r="C24" s="14">
        <v>352.9</v>
      </c>
      <c r="D24" s="7">
        <v>838.37597576588246</v>
      </c>
    </row>
    <row r="25" spans="1:4" x14ac:dyDescent="0.3">
      <c r="A25" s="4">
        <v>24</v>
      </c>
      <c r="B25" s="6">
        <v>18.299787752</v>
      </c>
      <c r="C25" s="14">
        <v>366.3</v>
      </c>
      <c r="D25" s="7">
        <v>822.29558733158217</v>
      </c>
    </row>
    <row r="26" spans="1:4" x14ac:dyDescent="0.3">
      <c r="A26" s="4">
        <v>25</v>
      </c>
      <c r="B26" s="6">
        <v>15.273795629</v>
      </c>
      <c r="C26" s="14">
        <v>293.5</v>
      </c>
      <c r="D26" s="7">
        <v>881.43743051548472</v>
      </c>
    </row>
    <row r="27" spans="1:4" x14ac:dyDescent="0.3">
      <c r="A27" s="4">
        <v>26</v>
      </c>
      <c r="B27" s="6">
        <v>14.770171583999998</v>
      </c>
      <c r="C27" s="14">
        <v>293.8</v>
      </c>
      <c r="D27" s="7">
        <v>876.16983432715836</v>
      </c>
    </row>
    <row r="28" spans="1:4" x14ac:dyDescent="0.3">
      <c r="A28" s="4">
        <v>27</v>
      </c>
      <c r="B28" s="6">
        <v>14.973167000000002</v>
      </c>
      <c r="C28" s="14">
        <v>297.3</v>
      </c>
      <c r="D28" s="7">
        <v>873.86742461451286</v>
      </c>
    </row>
    <row r="29" spans="1:4" x14ac:dyDescent="0.3">
      <c r="A29" s="4">
        <v>28</v>
      </c>
      <c r="B29" s="6">
        <v>14.973167000000002</v>
      </c>
      <c r="C29" s="14">
        <v>301.7</v>
      </c>
      <c r="D29" s="7">
        <v>868.43719505115382</v>
      </c>
    </row>
    <row r="30" spans="1:4" x14ac:dyDescent="0.3">
      <c r="A30" s="4">
        <v>29</v>
      </c>
      <c r="B30" s="6">
        <v>15.273795629</v>
      </c>
      <c r="C30" s="14">
        <v>281.39999999999998</v>
      </c>
      <c r="D30" s="7">
        <v>895.88836937633903</v>
      </c>
    </row>
    <row r="31" spans="1:4" x14ac:dyDescent="0.3">
      <c r="A31" s="4">
        <v>30</v>
      </c>
      <c r="B31" s="6">
        <v>14.973167000000002</v>
      </c>
      <c r="C31" s="14">
        <v>314.5</v>
      </c>
      <c r="D31" s="7">
        <v>852.34578396484358</v>
      </c>
    </row>
    <row r="32" spans="1:4" x14ac:dyDescent="0.3">
      <c r="A32" s="4">
        <v>31</v>
      </c>
      <c r="B32" s="6">
        <v>14.770171583999998</v>
      </c>
      <c r="C32" s="14">
        <v>333.2</v>
      </c>
      <c r="D32" s="7">
        <v>825.78548213790179</v>
      </c>
    </row>
    <row r="33" spans="1:4" x14ac:dyDescent="0.3">
      <c r="A33" s="4">
        <v>32</v>
      </c>
      <c r="B33" s="6">
        <v>16.431640625</v>
      </c>
      <c r="C33" s="14">
        <v>272.8</v>
      </c>
      <c r="D33" s="7">
        <v>916.51389861179518</v>
      </c>
    </row>
    <row r="34" spans="1:4" x14ac:dyDescent="0.3">
      <c r="A34" s="4">
        <v>33</v>
      </c>
      <c r="B34" s="6">
        <v>15.861471563000002</v>
      </c>
      <c r="C34" s="14">
        <v>317.60000000000002</v>
      </c>
      <c r="D34" s="7">
        <v>857.63248011453959</v>
      </c>
    </row>
    <row r="35" spans="1:4" x14ac:dyDescent="0.3">
      <c r="A35" s="4">
        <v>34</v>
      </c>
      <c r="B35" s="6">
        <v>15.861471563000002</v>
      </c>
      <c r="C35" s="14">
        <v>295.2</v>
      </c>
      <c r="D35" s="7">
        <v>885.08624859360771</v>
      </c>
    </row>
    <row r="36" spans="1:4" x14ac:dyDescent="0.3">
      <c r="A36" s="4">
        <v>35</v>
      </c>
      <c r="B36" s="6">
        <v>15.073888466999998</v>
      </c>
      <c r="C36" s="14">
        <v>291.5</v>
      </c>
      <c r="D36" s="7">
        <v>881.92140045920178</v>
      </c>
    </row>
    <row r="37" spans="1:4" x14ac:dyDescent="0.3">
      <c r="A37" s="4">
        <v>36</v>
      </c>
      <c r="B37" s="6">
        <v>14.667890950999999</v>
      </c>
      <c r="C37" s="14">
        <v>324.39999999999998</v>
      </c>
      <c r="D37" s="7">
        <v>836.30941493595049</v>
      </c>
    </row>
    <row r="38" spans="1:4" x14ac:dyDescent="0.3">
      <c r="A38" s="4">
        <v>37</v>
      </c>
      <c r="B38" s="6">
        <v>17.255647927999998</v>
      </c>
      <c r="C38" s="14">
        <v>326.60000000000002</v>
      </c>
      <c r="D38" s="7">
        <v>860.88583938093313</v>
      </c>
    </row>
    <row r="39" spans="1:4" x14ac:dyDescent="0.3">
      <c r="A39" s="4">
        <v>38</v>
      </c>
      <c r="B39" s="6">
        <v>14.043035656999999</v>
      </c>
      <c r="C39" s="14">
        <v>328.6</v>
      </c>
      <c r="D39" s="7">
        <v>823.88130911215842</v>
      </c>
    </row>
    <row r="40" spans="1:4" x14ac:dyDescent="0.3">
      <c r="A40" s="4">
        <v>39</v>
      </c>
      <c r="B40" s="6">
        <v>14.667890950999999</v>
      </c>
      <c r="C40" s="14">
        <v>338.7</v>
      </c>
      <c r="D40" s="7">
        <v>817.24643465744623</v>
      </c>
    </row>
    <row r="41" spans="1:4" x14ac:dyDescent="0.3">
      <c r="A41" s="4">
        <v>40</v>
      </c>
      <c r="B41" s="6">
        <v>14.043035656999999</v>
      </c>
      <c r="C41" s="14">
        <v>357.3</v>
      </c>
      <c r="D41" s="7">
        <v>783.89042037282047</v>
      </c>
    </row>
    <row r="42" spans="1:4" x14ac:dyDescent="0.3">
      <c r="A42" s="4">
        <v>41</v>
      </c>
      <c r="B42" s="6">
        <v>14.357877247999999</v>
      </c>
      <c r="C42" s="14">
        <v>362.3</v>
      </c>
      <c r="D42" s="7">
        <v>780.61326977990825</v>
      </c>
    </row>
    <row r="43" spans="1:4" x14ac:dyDescent="0.3">
      <c r="A43" s="4">
        <v>42</v>
      </c>
      <c r="B43" s="6">
        <v>14.253470939000001</v>
      </c>
      <c r="C43" s="14">
        <v>346.1</v>
      </c>
      <c r="D43" s="7">
        <v>802.28940413214241</v>
      </c>
    </row>
    <row r="44" spans="1:4" x14ac:dyDescent="0.3">
      <c r="A44" s="4">
        <v>43</v>
      </c>
      <c r="B44" s="6">
        <v>14.667890950999999</v>
      </c>
      <c r="C44" s="14">
        <v>338.3</v>
      </c>
      <c r="D44" s="7">
        <v>817.78768277376969</v>
      </c>
    </row>
    <row r="45" spans="1:4" x14ac:dyDescent="0.3">
      <c r="A45" s="4">
        <v>44</v>
      </c>
      <c r="B45" s="6">
        <v>13.937000000000001</v>
      </c>
      <c r="C45" s="14">
        <v>341.3</v>
      </c>
      <c r="D45" s="7">
        <v>805.26604748709906</v>
      </c>
    </row>
    <row r="46" spans="1:4" x14ac:dyDescent="0.3">
      <c r="A46" s="4">
        <v>45</v>
      </c>
      <c r="B46" s="6">
        <v>14.253470939000001</v>
      </c>
      <c r="C46" s="14">
        <v>328.6</v>
      </c>
      <c r="D46" s="7">
        <v>826.21171120231963</v>
      </c>
    </row>
    <row r="47" spans="1:4" x14ac:dyDescent="0.3">
      <c r="A47" s="4">
        <v>46</v>
      </c>
      <c r="B47" s="6">
        <v>14.667890950999999</v>
      </c>
      <c r="C47" s="14">
        <v>338.9</v>
      </c>
      <c r="D47" s="7">
        <v>816.97563592992969</v>
      </c>
    </row>
    <row r="48" spans="1:4" x14ac:dyDescent="0.3">
      <c r="A48" s="4">
        <v>47</v>
      </c>
      <c r="B48" s="6">
        <v>14.565083911999999</v>
      </c>
      <c r="C48" s="14">
        <v>330.6</v>
      </c>
      <c r="D48" s="7">
        <v>826.98098089965174</v>
      </c>
    </row>
    <row r="49" spans="1:4" x14ac:dyDescent="0.3">
      <c r="A49" s="4">
        <v>48</v>
      </c>
      <c r="B49" s="6">
        <v>16.053437476999999</v>
      </c>
      <c r="C49" s="14">
        <v>331.2</v>
      </c>
      <c r="D49" s="7">
        <v>842.41992358846971</v>
      </c>
    </row>
    <row r="50" spans="1:4" x14ac:dyDescent="0.3">
      <c r="A50" s="4">
        <v>49</v>
      </c>
      <c r="B50" s="6">
        <v>14.253470939000001</v>
      </c>
      <c r="C50" s="14">
        <v>330.1</v>
      </c>
      <c r="D50" s="7">
        <v>824.19729033459748</v>
      </c>
    </row>
    <row r="51" spans="1:4" x14ac:dyDescent="0.3">
      <c r="A51" s="4">
        <v>50</v>
      </c>
      <c r="B51" s="6">
        <v>15.569867071999997</v>
      </c>
      <c r="C51" s="14">
        <v>319.2</v>
      </c>
      <c r="D51" s="7">
        <v>852.5874786432131</v>
      </c>
    </row>
    <row r="52" spans="1:4" x14ac:dyDescent="0.3">
      <c r="A52" s="4">
        <v>51</v>
      </c>
      <c r="B52" s="6">
        <v>18.717681707000001</v>
      </c>
      <c r="C52" s="14">
        <v>330.2</v>
      </c>
      <c r="D52" s="7">
        <v>871.56745767684561</v>
      </c>
    </row>
    <row r="53" spans="1:4" x14ac:dyDescent="0.3">
      <c r="A53" s="4">
        <v>52</v>
      </c>
      <c r="B53" s="6">
        <v>16.710385664</v>
      </c>
      <c r="C53" s="14">
        <v>278.39999999999998</v>
      </c>
      <c r="D53" s="7">
        <v>912.71011448057709</v>
      </c>
    </row>
    <row r="54" spans="1:4" x14ac:dyDescent="0.3">
      <c r="A54" s="4">
        <v>53</v>
      </c>
      <c r="B54" s="6">
        <v>18.468110144000001</v>
      </c>
      <c r="C54" s="14">
        <v>323.3</v>
      </c>
      <c r="D54" s="7">
        <v>877.27664429863182</v>
      </c>
    </row>
    <row r="55" spans="1:4" x14ac:dyDescent="0.3">
      <c r="A55" s="4">
        <v>54</v>
      </c>
      <c r="B55" s="6">
        <v>18.551685593000002</v>
      </c>
      <c r="C55" s="14">
        <v>322.5</v>
      </c>
      <c r="D55" s="7">
        <v>879.06945122123898</v>
      </c>
    </row>
    <row r="56" spans="1:4" x14ac:dyDescent="0.3">
      <c r="A56" s="4">
        <v>55</v>
      </c>
      <c r="B56" s="6">
        <v>16.525017431999999</v>
      </c>
      <c r="C56" s="14">
        <v>344.4</v>
      </c>
      <c r="D56" s="7">
        <v>830.55388717217147</v>
      </c>
    </row>
    <row r="57" spans="1:4" x14ac:dyDescent="0.3">
      <c r="A57" s="4">
        <v>56</v>
      </c>
      <c r="B57" s="6">
        <v>18.468110144000001</v>
      </c>
      <c r="C57" s="14">
        <v>352.8</v>
      </c>
      <c r="D57" s="7">
        <v>841.2760959800828</v>
      </c>
    </row>
    <row r="58" spans="1:4" x14ac:dyDescent="0.3">
      <c r="A58" s="4">
        <v>57</v>
      </c>
      <c r="B58" s="6">
        <v>18.384145311000001</v>
      </c>
      <c r="C58" s="14">
        <v>354.3</v>
      </c>
      <c r="D58" s="7">
        <v>838.47613320998414</v>
      </c>
    </row>
    <row r="59" spans="1:4" x14ac:dyDescent="0.3">
      <c r="A59" s="4">
        <v>58</v>
      </c>
      <c r="B59" s="6">
        <v>18.468110144000001</v>
      </c>
      <c r="C59" s="14">
        <v>370.6</v>
      </c>
      <c r="D59" s="7">
        <v>818.70245031331046</v>
      </c>
    </row>
    <row r="60" spans="1:4" x14ac:dyDescent="0.3">
      <c r="A60" s="4">
        <v>59</v>
      </c>
      <c r="B60" s="6">
        <v>18.468110144000001</v>
      </c>
      <c r="C60" s="14">
        <v>361.1</v>
      </c>
      <c r="D60" s="7">
        <v>830.83168553845758</v>
      </c>
    </row>
    <row r="61" spans="1:4" x14ac:dyDescent="0.3">
      <c r="A61" s="4">
        <v>60</v>
      </c>
      <c r="B61" s="6">
        <v>16.710385664</v>
      </c>
      <c r="C61" s="14">
        <v>362.5</v>
      </c>
      <c r="D61" s="7">
        <v>808.84900703353787</v>
      </c>
    </row>
    <row r="62" spans="1:4" x14ac:dyDescent="0.3">
      <c r="A62" s="4">
        <v>61</v>
      </c>
      <c r="B62" s="6">
        <v>16.985024686999999</v>
      </c>
      <c r="C62" s="14">
        <v>383.5</v>
      </c>
      <c r="D62" s="7">
        <v>783.71251656295487</v>
      </c>
    </row>
    <row r="63" spans="1:4" x14ac:dyDescent="0.3">
      <c r="A63" s="4">
        <v>62</v>
      </c>
      <c r="B63" s="6">
        <v>16.617931330999998</v>
      </c>
      <c r="C63" s="14">
        <v>395.8</v>
      </c>
      <c r="D63" s="7">
        <v>761.74050095346286</v>
      </c>
    </row>
    <row r="64" spans="1:4" x14ac:dyDescent="0.3">
      <c r="A64" s="4">
        <v>63</v>
      </c>
      <c r="B64" s="6">
        <v>17.610388104000002</v>
      </c>
      <c r="C64" s="14">
        <v>354.5</v>
      </c>
      <c r="D64" s="7">
        <v>829.63464021144318</v>
      </c>
    </row>
    <row r="65" spans="1:4" x14ac:dyDescent="0.3">
      <c r="A65" s="4">
        <v>64</v>
      </c>
      <c r="B65" s="6">
        <v>16.053437476999999</v>
      </c>
      <c r="C65" s="14">
        <v>349.8</v>
      </c>
      <c r="D65" s="7">
        <v>818.15030908319443</v>
      </c>
    </row>
    <row r="66" spans="1:4" x14ac:dyDescent="0.3">
      <c r="A66" s="4">
        <v>65</v>
      </c>
      <c r="B66" s="6">
        <v>16.243484919</v>
      </c>
      <c r="C66" s="14">
        <v>346.1</v>
      </c>
      <c r="D66" s="7">
        <v>825.18994670850998</v>
      </c>
    </row>
    <row r="67" spans="1:4" x14ac:dyDescent="0.3">
      <c r="A67" s="4">
        <v>66</v>
      </c>
      <c r="B67" s="6">
        <v>15.861471563000002</v>
      </c>
      <c r="C67" s="14">
        <v>346.2</v>
      </c>
      <c r="D67" s="7">
        <v>820.74395007964529</v>
      </c>
    </row>
    <row r="68" spans="1:4" x14ac:dyDescent="0.3">
      <c r="A68" s="4">
        <v>67</v>
      </c>
      <c r="B68" s="6">
        <v>16.710385664</v>
      </c>
      <c r="C68" s="14">
        <v>347.7</v>
      </c>
      <c r="D68" s="7">
        <v>828.33675591936719</v>
      </c>
    </row>
    <row r="69" spans="1:4" x14ac:dyDescent="0.3">
      <c r="A69" s="4">
        <v>68</v>
      </c>
      <c r="B69" s="6">
        <v>15.861471563000002</v>
      </c>
      <c r="C69" s="14">
        <v>348.7</v>
      </c>
      <c r="D69" s="7">
        <v>817.41872008628798</v>
      </c>
    </row>
    <row r="70" spans="1:4" x14ac:dyDescent="0.3">
      <c r="A70" s="4">
        <v>69</v>
      </c>
      <c r="B70" s="6">
        <v>15.957695999999999</v>
      </c>
      <c r="C70" s="14">
        <v>348.1</v>
      </c>
      <c r="D70" s="7">
        <v>819.31581121617501</v>
      </c>
    </row>
    <row r="71" spans="1:4" x14ac:dyDescent="0.3">
      <c r="A71" s="4">
        <v>70</v>
      </c>
      <c r="B71" s="6">
        <v>16.053437476999999</v>
      </c>
      <c r="C71" s="14">
        <v>346.9</v>
      </c>
      <c r="D71" s="7">
        <v>821.99268626510457</v>
      </c>
    </row>
    <row r="72" spans="1:4" x14ac:dyDescent="0.3">
      <c r="A72" s="4">
        <v>71</v>
      </c>
      <c r="B72" s="6">
        <v>15.273795629</v>
      </c>
      <c r="C72" s="14">
        <v>385.2</v>
      </c>
      <c r="D72" s="7">
        <v>759.18652047812486</v>
      </c>
    </row>
    <row r="73" spans="1:4" x14ac:dyDescent="0.3">
      <c r="A73" s="4">
        <v>72</v>
      </c>
      <c r="B73" s="6">
        <v>15.372988008000002</v>
      </c>
      <c r="C73" s="14">
        <v>372.3</v>
      </c>
      <c r="D73" s="7">
        <v>779.07559066311433</v>
      </c>
    </row>
    <row r="74" spans="1:4" x14ac:dyDescent="0.3">
      <c r="A74" s="4">
        <v>73</v>
      </c>
      <c r="B74" s="6">
        <v>15.174096896</v>
      </c>
      <c r="C74" s="14">
        <v>359.4</v>
      </c>
      <c r="D74" s="7">
        <v>794.75798488920225</v>
      </c>
    </row>
    <row r="75" spans="1:4" x14ac:dyDescent="0.3">
      <c r="A75" s="4">
        <v>74</v>
      </c>
      <c r="B75" s="6">
        <v>14.871929153</v>
      </c>
      <c r="C75" s="14">
        <v>324.10000000000002</v>
      </c>
      <c r="D75" s="7">
        <v>838.89947872322227</v>
      </c>
    </row>
    <row r="76" spans="1:4" x14ac:dyDescent="0.3">
      <c r="A76" s="4">
        <v>75</v>
      </c>
      <c r="B76" s="6">
        <v>15.174096896</v>
      </c>
      <c r="C76" s="14">
        <v>304.39999999999998</v>
      </c>
      <c r="D76" s="7">
        <v>867.09809373401799</v>
      </c>
    </row>
    <row r="77" spans="1:4" x14ac:dyDescent="0.3">
      <c r="A77" s="4">
        <v>76</v>
      </c>
      <c r="B77" s="6">
        <v>15.073888466999998</v>
      </c>
      <c r="C77" s="14">
        <v>364.4</v>
      </c>
      <c r="D77" s="7">
        <v>786.52432336051697</v>
      </c>
    </row>
    <row r="78" spans="1:4" x14ac:dyDescent="0.3">
      <c r="A78" s="4">
        <v>77</v>
      </c>
      <c r="B78" s="6">
        <v>15.372988008000002</v>
      </c>
      <c r="C78" s="14">
        <v>359.6</v>
      </c>
      <c r="D78" s="7">
        <v>796.88114627065738</v>
      </c>
    </row>
    <row r="79" spans="1:4" x14ac:dyDescent="0.3">
      <c r="A79" s="4">
        <v>78</v>
      </c>
      <c r="B79" s="6">
        <v>17.165880809000004</v>
      </c>
      <c r="C79" s="14">
        <v>359.6</v>
      </c>
      <c r="D79" s="7">
        <v>817.97975559892438</v>
      </c>
    </row>
    <row r="80" spans="1:4" x14ac:dyDescent="0.3">
      <c r="A80" s="4">
        <v>79</v>
      </c>
      <c r="B80" s="6">
        <v>16.802383772999999</v>
      </c>
      <c r="C80" s="14">
        <v>339.6</v>
      </c>
      <c r="D80" s="7">
        <v>839.77792228904491</v>
      </c>
    </row>
    <row r="81" spans="1:4" x14ac:dyDescent="0.3">
      <c r="A81" s="4">
        <v>80</v>
      </c>
      <c r="B81" s="6">
        <v>16.617931330999998</v>
      </c>
      <c r="C81" s="14">
        <v>362.2</v>
      </c>
      <c r="D81" s="7">
        <v>808.16289953236787</v>
      </c>
    </row>
    <row r="82" spans="1:4" x14ac:dyDescent="0.3">
      <c r="A82" s="4">
        <v>81</v>
      </c>
      <c r="B82" s="6">
        <v>16.525017431999999</v>
      </c>
      <c r="C82" s="14">
        <v>376.5</v>
      </c>
      <c r="D82" s="7">
        <v>787.61717759415512</v>
      </c>
    </row>
    <row r="83" spans="1:4" x14ac:dyDescent="0.3">
      <c r="A83" s="4">
        <v>82</v>
      </c>
      <c r="B83" s="6">
        <v>17.698007782999998</v>
      </c>
      <c r="C83" s="14">
        <v>367.7</v>
      </c>
      <c r="D83" s="7">
        <v>813.53456388772145</v>
      </c>
    </row>
    <row r="84" spans="1:4" x14ac:dyDescent="0.3">
      <c r="A84" s="4">
        <v>83</v>
      </c>
      <c r="B84" s="6">
        <v>17.522345621000003</v>
      </c>
      <c r="C84" s="14">
        <v>342</v>
      </c>
      <c r="D84" s="7">
        <v>844.5398158833159</v>
      </c>
    </row>
    <row r="85" spans="1:4" x14ac:dyDescent="0.3">
      <c r="A85" s="4">
        <v>84</v>
      </c>
      <c r="B85" s="6">
        <v>17.610388104000002</v>
      </c>
      <c r="C85" s="14">
        <v>370.7</v>
      </c>
      <c r="D85" s="7">
        <v>808.56501636425639</v>
      </c>
    </row>
    <row r="86" spans="1:4" x14ac:dyDescent="0.3">
      <c r="A86" s="4">
        <v>85</v>
      </c>
      <c r="B86" s="6">
        <v>17.698007782999998</v>
      </c>
      <c r="C86" s="14">
        <v>357.2</v>
      </c>
      <c r="D86" s="7">
        <v>827.15295394951841</v>
      </c>
    </row>
    <row r="87" spans="1:4" x14ac:dyDescent="0.3">
      <c r="A87" s="4">
        <v>86</v>
      </c>
      <c r="B87" s="6">
        <v>18.299787752</v>
      </c>
      <c r="C87" s="14">
        <v>388.4</v>
      </c>
      <c r="D87" s="7">
        <v>793.39866691657778</v>
      </c>
    </row>
    <row r="88" spans="1:4" x14ac:dyDescent="0.3">
      <c r="A88" s="4">
        <v>87</v>
      </c>
      <c r="B88" s="6">
        <v>17.522345621000003</v>
      </c>
      <c r="C88" s="14">
        <v>366.1</v>
      </c>
      <c r="D88" s="7">
        <v>813.5842197542737</v>
      </c>
    </row>
    <row r="89" spans="1:4" x14ac:dyDescent="0.3">
      <c r="A89" s="4">
        <v>88</v>
      </c>
      <c r="B89" s="6">
        <v>18.044325299</v>
      </c>
      <c r="C89" s="14">
        <v>367.5</v>
      </c>
      <c r="D89" s="7">
        <v>817.81303892980668</v>
      </c>
    </row>
    <row r="90" spans="1:4" ht="14.5" thickBot="1" x14ac:dyDescent="0.35">
      <c r="A90" s="4">
        <v>89</v>
      </c>
      <c r="B90" s="6">
        <v>17.871992097</v>
      </c>
      <c r="C90" s="14">
        <v>375.8</v>
      </c>
      <c r="D90" s="7">
        <v>804.93570860534919</v>
      </c>
    </row>
    <row r="91" spans="1:4" ht="28" customHeight="1" thickBot="1" x14ac:dyDescent="0.35">
      <c r="A91" s="15" t="s">
        <v>0</v>
      </c>
      <c r="B91" s="16">
        <f t="shared" ref="B91" si="0">AVERAGE(B2:B90)</f>
        <v>16.661310019640446</v>
      </c>
      <c r="C91" s="17">
        <f>AVERAGE(C2:C90)</f>
        <v>340.22471910112358</v>
      </c>
      <c r="D91" s="18">
        <f>AVERAGE(D2:D90)</f>
        <v>836.63554147315608</v>
      </c>
    </row>
    <row r="92" spans="1:4" ht="14" customHeight="1" x14ac:dyDescent="0.3">
      <c r="A92" s="2" t="s">
        <v>6</v>
      </c>
    </row>
    <row r="93" spans="1:4" x14ac:dyDescent="0.3">
      <c r="A93" s="2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Fluidization &amp; settling veloc.</vt:lpstr>
      <vt:lpstr>Pressure gradient</vt:lpstr>
      <vt:lpstr>Fluid viscosity</vt:lpstr>
      <vt:lpstr>Fluid density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Néstor Cano</dc:creator>
  <cp:lastModifiedBy>Néstor Cano</cp:lastModifiedBy>
  <cp:lastPrinted>2024-12-02T22:18:51Z</cp:lastPrinted>
  <dcterms:created xsi:type="dcterms:W3CDTF">2024-04-29T06:09:06Z</dcterms:created>
  <dcterms:modified xsi:type="dcterms:W3CDTF">2025-02-05T15:57:19Z</dcterms:modified>
</cp:coreProperties>
</file>