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harts/chart1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.xml" ContentType="application/vnd.openxmlformats-officedocument.drawingml.chart+xml"/>
  <Override PartName="/xl/charts/chart20.xml" ContentType="application/vnd.openxmlformats-officedocument.drawingml.chart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olors1.xml" ContentType="application/vnd.ms-office.chartcolorstyle+xml"/>
  <Override PartName="/xl/charts/colors10.xml" ContentType="application/vnd.ms-office.chartcolorstyle+xml"/>
  <Override PartName="/xl/charts/colors11.xml" ContentType="application/vnd.ms-office.chartcolorstyle+xml"/>
  <Override PartName="/xl/charts/colors12.xml" ContentType="application/vnd.ms-office.chartcolorstyle+xml"/>
  <Override PartName="/xl/charts/colors13.xml" ContentType="application/vnd.ms-office.chartcolorstyle+xml"/>
  <Override PartName="/xl/charts/colors14.xml" ContentType="application/vnd.ms-office.chartcolorstyle+xml"/>
  <Override PartName="/xl/charts/colors15.xml" ContentType="application/vnd.ms-office.chartcolorstyle+xml"/>
  <Override PartName="/xl/charts/colors16.xml" ContentType="application/vnd.ms-office.chartcolorstyle+xml"/>
  <Override PartName="/xl/charts/colors17.xml" ContentType="application/vnd.ms-office.chartcolorstyle+xml"/>
  <Override PartName="/xl/charts/colors18.xml" ContentType="application/vnd.ms-office.chartcolorstyle+xml"/>
  <Override PartName="/xl/charts/colors19.xml" ContentType="application/vnd.ms-office.chartcolorstyle+xml"/>
  <Override PartName="/xl/charts/colors2.xml" ContentType="application/vnd.ms-office.chartcolorstyle+xml"/>
  <Override PartName="/xl/charts/colors20.xml" ContentType="application/vnd.ms-office.chartcolorstyle+xml"/>
  <Override PartName="/xl/charts/colors21.xml" ContentType="application/vnd.ms-office.chartcolorstyle+xml"/>
  <Override PartName="/xl/charts/colors22.xml" ContentType="application/vnd.ms-office.chartcolorstyle+xml"/>
  <Override PartName="/xl/charts/colors23.xml" ContentType="application/vnd.ms-office.chartcolorstyle+xml"/>
  <Override PartName="/xl/charts/colors3.xml" ContentType="application/vnd.ms-office.chartcolorstyle+xml"/>
  <Override PartName="/xl/charts/colors4.xml" ContentType="application/vnd.ms-office.chartcolorstyle+xml"/>
  <Override PartName="/xl/charts/colors5.xml" ContentType="application/vnd.ms-office.chartcolorstyle+xml"/>
  <Override PartName="/xl/charts/colors6.xml" ContentType="application/vnd.ms-office.chartcolorstyle+xml"/>
  <Override PartName="/xl/charts/colors7.xml" ContentType="application/vnd.ms-office.chartcolorstyle+xml"/>
  <Override PartName="/xl/charts/colors8.xml" ContentType="application/vnd.ms-office.chartcolorstyle+xml"/>
  <Override PartName="/xl/charts/colors9.xml" ContentType="application/vnd.ms-office.chartcolorstyle+xml"/>
  <Override PartName="/xl/charts/style1.xml" ContentType="application/vnd.ms-office.chartstyle+xml"/>
  <Override PartName="/xl/charts/style10.xml" ContentType="application/vnd.ms-office.chartstyle+xml"/>
  <Override PartName="/xl/charts/style11.xml" ContentType="application/vnd.ms-office.chartstyle+xml"/>
  <Override PartName="/xl/charts/style12.xml" ContentType="application/vnd.ms-office.chartstyle+xml"/>
  <Override PartName="/xl/charts/style13.xml" ContentType="application/vnd.ms-office.chartstyle+xml"/>
  <Override PartName="/xl/charts/style14.xml" ContentType="application/vnd.ms-office.chartstyle+xml"/>
  <Override PartName="/xl/charts/style15.xml" ContentType="application/vnd.ms-office.chartstyle+xml"/>
  <Override PartName="/xl/charts/style16.xml" ContentType="application/vnd.ms-office.chartstyle+xml"/>
  <Override PartName="/xl/charts/style17.xml" ContentType="application/vnd.ms-office.chartstyle+xml"/>
  <Override PartName="/xl/charts/style18.xml" ContentType="application/vnd.ms-office.chartstyle+xml"/>
  <Override PartName="/xl/charts/style19.xml" ContentType="application/vnd.ms-office.chartstyle+xml"/>
  <Override PartName="/xl/charts/style2.xml" ContentType="application/vnd.ms-office.chartstyle+xml"/>
  <Override PartName="/xl/charts/style20.xml" ContentType="application/vnd.ms-office.chartstyle+xml"/>
  <Override PartName="/xl/charts/style21.xml" ContentType="application/vnd.ms-office.chartstyle+xml"/>
  <Override PartName="/xl/charts/style22.xml" ContentType="application/vnd.ms-office.chartstyle+xml"/>
  <Override PartName="/xl/charts/style23.xml" ContentType="application/vnd.ms-office.chartstyle+xml"/>
  <Override PartName="/xl/charts/style3.xml" ContentType="application/vnd.ms-office.chartstyle+xml"/>
  <Override PartName="/xl/charts/style4.xml" ContentType="application/vnd.ms-office.chartstyle+xml"/>
  <Override PartName="/xl/charts/style5.xml" ContentType="application/vnd.ms-office.chartstyle+xml"/>
  <Override PartName="/xl/charts/style6.xml" ContentType="application/vnd.ms-office.chartstyle+xml"/>
  <Override PartName="/xl/charts/style7.xml" ContentType="application/vnd.ms-office.chartstyle+xml"/>
  <Override PartName="/xl/charts/style8.xml" ContentType="application/vnd.ms-office.chartstyle+xml"/>
  <Override PartName="/xl/charts/style9.xml" ContentType="application/vnd.ms-office.chartstyle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285" firstSheet="1" activeTab="3"/>
  </bookViews>
  <sheets>
    <sheet name="Glu3 BLK1" sheetId="1" r:id="rId1"/>
    <sheet name="BLK23" sheetId="3" r:id="rId2"/>
    <sheet name="NH4Cl" sheetId="4" r:id="rId3"/>
    <sheet name="Sheet2" sheetId="2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<sst xmlns="http://schemas.openxmlformats.org/spreadsheetml/2006/main" count="297" uniqueCount="122">
  <si>
    <t>希釈倍率</t>
  </si>
  <si>
    <t>Glu</t>
  </si>
  <si>
    <t>Area</t>
  </si>
  <si>
    <t>nmol/ml</t>
  </si>
  <si>
    <t>原液</t>
  </si>
  <si>
    <t>平均</t>
  </si>
  <si>
    <t>標準偏差</t>
  </si>
  <si>
    <t>①-1</t>
  </si>
  <si>
    <t>①-2</t>
  </si>
  <si>
    <t>①-3</t>
  </si>
  <si>
    <t>②-1</t>
  </si>
  <si>
    <t>②-2</t>
  </si>
  <si>
    <t>②-3</t>
  </si>
  <si>
    <t>③-1</t>
  </si>
  <si>
    <t>③-2</t>
  </si>
  <si>
    <t>③-3</t>
  </si>
  <si>
    <t>④-1</t>
  </si>
  <si>
    <t>④-2</t>
  </si>
  <si>
    <t>④-3</t>
  </si>
  <si>
    <t>⑤-1</t>
  </si>
  <si>
    <t>⑤-2</t>
  </si>
  <si>
    <t>⑤-3</t>
  </si>
  <si>
    <t>⑥-1</t>
  </si>
  <si>
    <t>⑥-2</t>
  </si>
  <si>
    <t>⑥-3</t>
  </si>
  <si>
    <t>⑦-1</t>
  </si>
  <si>
    <t>⑦-2</t>
  </si>
  <si>
    <t>⑦-3</t>
  </si>
  <si>
    <t>⑧-1</t>
  </si>
  <si>
    <t>⑧-2</t>
  </si>
  <si>
    <t>⑧-3</t>
  </si>
  <si>
    <t>⑨-1</t>
  </si>
  <si>
    <t>⑨-2</t>
  </si>
  <si>
    <t>⑨-3</t>
  </si>
  <si>
    <t>⑩-1</t>
  </si>
  <si>
    <t>⑩-2</t>
  </si>
  <si>
    <t>⑩-3</t>
  </si>
  <si>
    <t>⑪-1</t>
  </si>
  <si>
    <t>⑪-2</t>
  </si>
  <si>
    <t>⑪-3</t>
  </si>
  <si>
    <t>⑫-1</t>
  </si>
  <si>
    <t>⑫-2</t>
  </si>
  <si>
    <t>⑫-3</t>
  </si>
  <si>
    <t>⑬-1</t>
  </si>
  <si>
    <t>⑬-2</t>
  </si>
  <si>
    <t>⑬-3</t>
  </si>
  <si>
    <t>BLK</t>
  </si>
  <si>
    <t>⑭-1</t>
  </si>
  <si>
    <t>⑮-1</t>
  </si>
  <si>
    <t>⑯-1</t>
  </si>
  <si>
    <t>⑰-1</t>
  </si>
  <si>
    <t>⑱-1</t>
  </si>
  <si>
    <t>①-4</t>
  </si>
  <si>
    <t>⑥-4</t>
  </si>
  <si>
    <t>⑭-2</t>
  </si>
  <si>
    <t>⑭-3</t>
  </si>
  <si>
    <t>⑮-2</t>
  </si>
  <si>
    <t>⑮-3</t>
  </si>
  <si>
    <t>⑯-2</t>
  </si>
  <si>
    <t>⑯-3</t>
  </si>
  <si>
    <t>⑰-2</t>
  </si>
  <si>
    <t>⑰-3</t>
  </si>
  <si>
    <t>⑱-2</t>
  </si>
  <si>
    <t>⑱-3</t>
  </si>
  <si>
    <t>⑲-1</t>
  </si>
  <si>
    <t>⑲-2</t>
  </si>
  <si>
    <t>⑲-3</t>
  </si>
  <si>
    <t>⑳-1</t>
  </si>
  <si>
    <t>⑳-2</t>
  </si>
  <si>
    <t>⑳-3</t>
  </si>
  <si>
    <t>Leu</t>
  </si>
  <si>
    <t>①-1-1</t>
  </si>
  <si>
    <t>①-1-2</t>
  </si>
  <si>
    <t>①-1-3</t>
  </si>
  <si>
    <t>①-2-1</t>
  </si>
  <si>
    <t>①-2-2</t>
  </si>
  <si>
    <t>①-2-3</t>
  </si>
  <si>
    <t>②-1-1</t>
  </si>
  <si>
    <t>②-1-2</t>
  </si>
  <si>
    <t>②-1-3</t>
  </si>
  <si>
    <t>②-2-1</t>
  </si>
  <si>
    <t>②-2-2</t>
  </si>
  <si>
    <t>②-2-3</t>
  </si>
  <si>
    <t>NH4Cｌ</t>
  </si>
  <si>
    <t>⑦-4</t>
  </si>
  <si>
    <t>⑦-5</t>
  </si>
  <si>
    <t>⑧-4</t>
  </si>
  <si>
    <t>⑨-4</t>
  </si>
  <si>
    <t>⑩-4</t>
  </si>
  <si>
    <t>⑬-4</t>
  </si>
  <si>
    <t>⑭-4</t>
  </si>
  <si>
    <t>B-1-1</t>
  </si>
  <si>
    <t>B 発酵前</t>
  </si>
  <si>
    <t>B-1-2</t>
  </si>
  <si>
    <t>B 発酵後</t>
  </si>
  <si>
    <t>B-1-3</t>
  </si>
  <si>
    <t>N 発酵前</t>
  </si>
  <si>
    <t>B-2</t>
  </si>
  <si>
    <t>N 発酵後</t>
  </si>
  <si>
    <t>B-3</t>
  </si>
  <si>
    <t>G 発酵前</t>
  </si>
  <si>
    <t>B-4</t>
  </si>
  <si>
    <t>G 発酵後</t>
  </si>
  <si>
    <t>N-1-1</t>
  </si>
  <si>
    <t>N-1-2</t>
  </si>
  <si>
    <t>N-1-3</t>
  </si>
  <si>
    <t>N-2</t>
  </si>
  <si>
    <t>N-3</t>
  </si>
  <si>
    <t>N-4</t>
  </si>
  <si>
    <t>G-1-1</t>
  </si>
  <si>
    <t>G-1-2</t>
  </si>
  <si>
    <t>G-1-3</t>
  </si>
  <si>
    <t>G-2</t>
  </si>
  <si>
    <t>G-3</t>
  </si>
  <si>
    <t>G-4</t>
  </si>
  <si>
    <t>GABA</t>
  </si>
  <si>
    <t>mg/100g</t>
  </si>
  <si>
    <t>μmol/100g</t>
  </si>
  <si>
    <t>温度</t>
  </si>
  <si>
    <t>+</t>
  </si>
  <si>
    <t>nmol/100g</t>
  </si>
  <si>
    <t>MW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</si>
</sst>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"/>
  </numFmts>
  <fonts count="22">
    <font>
      <sz val="11"/>
      <color theme="1"/>
      <name val="宋体"/>
      <charset val="128"/>
      <scheme val="minor"/>
    </font>
    <font>
      <sz val="10"/>
      <color rgb="FF000000"/>
      <name val="Arial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2" fillId="0" borderId="0" applyFont="0" applyFill="0" applyBorder="0" applyAlignment="0" applyProtection="0">
      <alignment vertical="center"/>
    </xf>
    <xf numFmtId="44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2" fillId="3" borderId="1" applyNumberFormat="0" applyFont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9" fillId="0" borderId="2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12" fillId="5" borderId="5" applyNumberFormat="0" applyAlignment="0" applyProtection="0">
      <alignment vertical="center"/>
    </xf>
    <xf numFmtId="0" fontId="13" fillId="5" borderId="4" applyNumberFormat="0" applyAlignment="0" applyProtection="0">
      <alignment vertical="center"/>
    </xf>
    <xf numFmtId="0" fontId="14" fillId="6" borderId="6" applyNumberFormat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0" fillId="33" borderId="0" applyNumberFormat="0" applyBorder="0" applyAlignment="0" applyProtection="0">
      <alignment vertical="center"/>
    </xf>
  </cellStyleXfs>
  <cellXfs count="5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2" borderId="0" xfId="0" applyFill="1">
      <alignment vertical="center"/>
    </xf>
    <xf numFmtId="56" fontId="0" fillId="0" borderId="0" xfId="0" applyNumberFormat="1">
      <alignment vertical="center"/>
    </xf>
    <xf numFmtId="176" fontId="0" fillId="0" borderId="0" xfId="0" applyNumberForma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tyles" Target="styles.xml"/><Relationship Id="rId6" Type="http://schemas.openxmlformats.org/officeDocument/2006/relationships/sharedStrings" Target="sharedString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21.xml.rels><?xml version="1.0" encoding="UTF-8" standalone="yes"?>
<Relationships xmlns="http://schemas.openxmlformats.org/package/2006/relationships"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22.xml.rels><?xml version="1.0" encoding="UTF-8" standalone="yes"?>
<Relationships xmlns="http://schemas.openxmlformats.org/package/2006/relationships"><Relationship Id="rId2" Type="http://schemas.microsoft.com/office/2011/relationships/chartColorStyle" Target="colors22.xml"/><Relationship Id="rId1" Type="http://schemas.microsoft.com/office/2011/relationships/chartStyle" Target="style22.xml"/></Relationships>
</file>

<file path=xl/charts/_rels/chart23.xml.rels><?xml version="1.0" encoding="UTF-8" standalone="yes"?>
<Relationships xmlns="http://schemas.openxmlformats.org/package/2006/relationships"><Relationship Id="rId2" Type="http://schemas.microsoft.com/office/2011/relationships/chartColorStyle" Target="colors23.xml"/><Relationship Id="rId1" Type="http://schemas.microsoft.com/office/2011/relationships/chartStyle" Target="style23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elete val="1"/>
          </c:dLbls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/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lang="zh-CN"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</a:p>
              </c:txPr>
            </c:trendlineLbl>
          </c:trendline>
          <c:xVal>
            <c:numRef>
              <c:f>'Glu3 BLK1'!$B$4:$B$9</c:f>
              <c:numCache>
                <c:formatCode>General</c:formatCode>
                <c:ptCount val="6"/>
                <c:pt idx="0">
                  <c:v>10</c:v>
                </c:pt>
                <c:pt idx="1">
                  <c:v>10</c:v>
                </c:pt>
                <c:pt idx="2">
                  <c:v>50</c:v>
                </c:pt>
                <c:pt idx="3">
                  <c:v>50</c:v>
                </c:pt>
                <c:pt idx="4">
                  <c:v>100</c:v>
                </c:pt>
                <c:pt idx="5">
                  <c:v>100</c:v>
                </c:pt>
              </c:numCache>
            </c:numRef>
          </c:xVal>
          <c:yVal>
            <c:numRef>
              <c:f>'Glu3 BLK1'!$C$4:$C$9</c:f>
              <c:numCache>
                <c:formatCode>General</c:formatCode>
                <c:ptCount val="6"/>
                <c:pt idx="0">
                  <c:v>250604</c:v>
                </c:pt>
                <c:pt idx="1">
                  <c:v>260078</c:v>
                </c:pt>
                <c:pt idx="2">
                  <c:v>2468299</c:v>
                </c:pt>
                <c:pt idx="3">
                  <c:v>2372360</c:v>
                </c:pt>
                <c:pt idx="4">
                  <c:v>4661973</c:v>
                </c:pt>
                <c:pt idx="5">
                  <c:v>4808899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7286240"/>
        <c:axId val="117286800"/>
      </c:scatterChart>
      <c:valAx>
        <c:axId val="1172862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117286800"/>
        <c:crosses val="autoZero"/>
        <c:crossBetween val="midCat"/>
      </c:valAx>
      <c:valAx>
        <c:axId val="117286800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117286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  <c:extLst>
      <c:ext uri="{0b15fc19-7d7d-44ad-8c2d-2c3a37ce22c3}">
        <chartProps xmlns="https://web.wps.cn/et/2018/main" chartId="{2d50774b-5146-41cc-90ec-74c123781869}"/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zh-CN"/>
      </a:pPr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elete val="1"/>
          </c:dLbls>
          <c:xVal>
            <c:numRef>
              <c:f>Sheet2!$B$4:$B$16</c:f>
              <c:numCache>
                <c:formatCode>General</c:formatCode>
                <c:ptCount val="13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60</c:v>
                </c:pt>
                <c:pt idx="11">
                  <c:v>70</c:v>
                </c:pt>
                <c:pt idx="12">
                  <c:v>80</c:v>
                </c:pt>
              </c:numCache>
            </c:numRef>
          </c:xVal>
          <c:yVal>
            <c:numRef>
              <c:f>Sheet2!$G$4:$G$16</c:f>
              <c:numCache>
                <c:formatCode>General</c:formatCode>
                <c:ptCount val="13"/>
                <c:pt idx="0">
                  <c:v>26</c:v>
                </c:pt>
                <c:pt idx="1">
                  <c:v>28</c:v>
                </c:pt>
                <c:pt idx="2">
                  <c:v>29</c:v>
                </c:pt>
                <c:pt idx="3">
                  <c:v>33</c:v>
                </c:pt>
                <c:pt idx="4">
                  <c:v>36</c:v>
                </c:pt>
                <c:pt idx="5">
                  <c:v>38</c:v>
                </c:pt>
                <c:pt idx="6">
                  <c:v>41</c:v>
                </c:pt>
                <c:pt idx="7">
                  <c:v>43</c:v>
                </c:pt>
                <c:pt idx="8">
                  <c:v>42</c:v>
                </c:pt>
                <c:pt idx="9">
                  <c:v>42</c:v>
                </c:pt>
                <c:pt idx="10">
                  <c:v>40</c:v>
                </c:pt>
                <c:pt idx="11">
                  <c:v>40</c:v>
                </c:pt>
                <c:pt idx="12">
                  <c:v>55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69543424"/>
        <c:axId val="269543984"/>
      </c:scatterChart>
      <c:valAx>
        <c:axId val="26954342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lang="zh-CN"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ja-JP"/>
                  <a:t>Time(min)</a:t>
                </a:r>
                <a:endParaRPr lang="ja-JP" altLang="en-US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269543984"/>
        <c:crosses val="autoZero"/>
        <c:crossBetween val="midCat"/>
      </c:valAx>
      <c:valAx>
        <c:axId val="269543984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lang="zh-CN"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ja-JP"/>
                  <a:t>Temperature(</a:t>
                </a:r>
                <a:r>
                  <a:rPr lang="ja-JP" altLang="en-US"/>
                  <a:t>℃</a:t>
                </a:r>
                <a:r>
                  <a:rPr lang="en-US" altLang="ja-JP"/>
                  <a:t>)</a:t>
                </a:r>
                <a:endParaRPr lang="ja-JP" altLang="en-US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26954342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  <c:extLst>
      <c:ext uri="{0b15fc19-7d7d-44ad-8c2d-2c3a37ce22c3}">
        <chartProps xmlns="https://web.wps.cn/et/2018/main" chartId="{161d8846-23ed-4f65-bd42-98166520c4f9}"/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zh-CN"/>
      </a:pPr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elete val="1"/>
          </c:dLbls>
          <c:errBars>
            <c:errDir val="y"/>
            <c:errBarType val="both"/>
            <c:errValType val="cust"/>
            <c:noEndCap val="0"/>
            <c:plus>
              <c:numRef>
                <c:f>Sheet2!$D$42:$D$61</c:f>
                <c:numCache>
                  <c:formatCode>General</c:formatCode>
                  <c:ptCount val="20"/>
                  <c:pt idx="0">
                    <c:v>0.21956797597622</c:v>
                  </c:pt>
                  <c:pt idx="1">
                    <c:v>0.0640729189764606</c:v>
                  </c:pt>
                  <c:pt idx="2">
                    <c:v>0.101168139741804</c:v>
                  </c:pt>
                  <c:pt idx="3">
                    <c:v>0.0541111614042327</c:v>
                  </c:pt>
                  <c:pt idx="4">
                    <c:v>0.0332319186173513</c:v>
                  </c:pt>
                  <c:pt idx="5">
                    <c:v>0.546100525283983</c:v>
                  </c:pt>
                  <c:pt idx="6">
                    <c:v>0.0360793817876545</c:v>
                  </c:pt>
                  <c:pt idx="7">
                    <c:v>0.188379665041502</c:v>
                  </c:pt>
                  <c:pt idx="8">
                    <c:v>0.0787135578482029</c:v>
                  </c:pt>
                  <c:pt idx="9">
                    <c:v>0.159271039956568</c:v>
                  </c:pt>
                  <c:pt idx="10">
                    <c:v>0.150506597051483</c:v>
                  </c:pt>
                  <c:pt idx="11">
                    <c:v>0.169934502644752</c:v>
                  </c:pt>
                  <c:pt idx="12">
                    <c:v>0.3834553318024</c:v>
                  </c:pt>
                  <c:pt idx="13">
                    <c:v>0.22279042271071</c:v>
                  </c:pt>
                  <c:pt idx="14">
                    <c:v>0.14043361386471</c:v>
                  </c:pt>
                  <c:pt idx="15">
                    <c:v>0.107001858153122</c:v>
                  </c:pt>
                  <c:pt idx="16">
                    <c:v>0.0381737594087564</c:v>
                  </c:pt>
                  <c:pt idx="17">
                    <c:v>0.0327448373676006</c:v>
                  </c:pt>
                  <c:pt idx="18">
                    <c:v>0.0638662348134665</c:v>
                  </c:pt>
                  <c:pt idx="19">
                    <c:v>0.0357816891192411</c:v>
                  </c:pt>
                </c:numCache>
              </c:numRef>
            </c:plus>
            <c:minus>
              <c:numRef>
                <c:f>Sheet2!$D$42:$D$61</c:f>
                <c:numCache>
                  <c:formatCode>General</c:formatCode>
                  <c:ptCount val="20"/>
                  <c:pt idx="0">
                    <c:v>0.21956797597622</c:v>
                  </c:pt>
                  <c:pt idx="1">
                    <c:v>0.0640729189764606</c:v>
                  </c:pt>
                  <c:pt idx="2">
                    <c:v>0.101168139741804</c:v>
                  </c:pt>
                  <c:pt idx="3">
                    <c:v>0.0541111614042327</c:v>
                  </c:pt>
                  <c:pt idx="4">
                    <c:v>0.0332319186173513</c:v>
                  </c:pt>
                  <c:pt idx="5">
                    <c:v>0.546100525283983</c:v>
                  </c:pt>
                  <c:pt idx="6">
                    <c:v>0.0360793817876545</c:v>
                  </c:pt>
                  <c:pt idx="7">
                    <c:v>0.188379665041502</c:v>
                  </c:pt>
                  <c:pt idx="8">
                    <c:v>0.0787135578482029</c:v>
                  </c:pt>
                  <c:pt idx="9">
                    <c:v>0.159271039956568</c:v>
                  </c:pt>
                  <c:pt idx="10">
                    <c:v>0.150506597051483</c:v>
                  </c:pt>
                  <c:pt idx="11">
                    <c:v>0.169934502644752</c:v>
                  </c:pt>
                  <c:pt idx="12">
                    <c:v>0.3834553318024</c:v>
                  </c:pt>
                  <c:pt idx="13">
                    <c:v>0.22279042271071</c:v>
                  </c:pt>
                  <c:pt idx="14">
                    <c:v>0.14043361386471</c:v>
                  </c:pt>
                  <c:pt idx="15">
                    <c:v>0.107001858153122</c:v>
                  </c:pt>
                  <c:pt idx="16">
                    <c:v>0.0381737594087564</c:v>
                  </c:pt>
                  <c:pt idx="17">
                    <c:v>0.0327448373676006</c:v>
                  </c:pt>
                  <c:pt idx="18">
                    <c:v>0.0638662348134665</c:v>
                  </c:pt>
                  <c:pt idx="19">
                    <c:v>0.0357816891192411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Sheet2!$B$42:$B$61</c:f>
              <c:numCache>
                <c:formatCode>General</c:formatCode>
                <c:ptCount val="20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</c:numCache>
            </c:numRef>
          </c:xVal>
          <c:yVal>
            <c:numRef>
              <c:f>Sheet2!$C$42:$C$61</c:f>
              <c:numCache>
                <c:formatCode>General</c:formatCode>
                <c:ptCount val="20"/>
                <c:pt idx="0">
                  <c:v>4.15013891421446</c:v>
                </c:pt>
                <c:pt idx="1">
                  <c:v>4.13825795253111</c:v>
                </c:pt>
                <c:pt idx="2">
                  <c:v>4.04136866078817</c:v>
                </c:pt>
                <c:pt idx="3">
                  <c:v>4.13684320740347</c:v>
                </c:pt>
                <c:pt idx="4">
                  <c:v>4.02499548492273</c:v>
                </c:pt>
                <c:pt idx="5">
                  <c:v>4.45938266274427</c:v>
                </c:pt>
                <c:pt idx="6">
                  <c:v>4.17332801562883</c:v>
                </c:pt>
                <c:pt idx="7">
                  <c:v>4.22492708687181</c:v>
                </c:pt>
                <c:pt idx="8">
                  <c:v>4.2821274190903</c:v>
                </c:pt>
                <c:pt idx="9">
                  <c:v>4.51462160539644</c:v>
                </c:pt>
                <c:pt idx="10">
                  <c:v>4.67205164638335</c:v>
                </c:pt>
                <c:pt idx="11">
                  <c:v>4.37239497207361</c:v>
                </c:pt>
                <c:pt idx="12">
                  <c:v>4.51681185377533</c:v>
                </c:pt>
                <c:pt idx="13">
                  <c:v>3.93512191092464</c:v>
                </c:pt>
                <c:pt idx="14">
                  <c:v>3.53220541759418</c:v>
                </c:pt>
                <c:pt idx="15">
                  <c:v>3.01615240615314</c:v>
                </c:pt>
                <c:pt idx="16">
                  <c:v>2.85805640723923</c:v>
                </c:pt>
                <c:pt idx="17">
                  <c:v>3.32545755767239</c:v>
                </c:pt>
                <c:pt idx="18">
                  <c:v>3.470589696969</c:v>
                </c:pt>
                <c:pt idx="19">
                  <c:v>3.30919895127911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69546224"/>
        <c:axId val="269546784"/>
      </c:scatterChart>
      <c:valAx>
        <c:axId val="26954622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lang="zh-CN"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ja-JP"/>
                  <a:t>Time(min)</a:t>
                </a:r>
                <a:endParaRPr lang="ja-JP" altLang="en-US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269546784"/>
        <c:crosses val="autoZero"/>
        <c:crossBetween val="midCat"/>
        <c:majorUnit val="10"/>
      </c:valAx>
      <c:valAx>
        <c:axId val="269546784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lang="zh-CN"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ja-JP"/>
                  <a:t>GABA(mg/100g)</a:t>
                </a:r>
                <a:endParaRPr lang="ja-JP" altLang="en-US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26954622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  <c:extLst>
      <c:ext uri="{0b15fc19-7d7d-44ad-8c2d-2c3a37ce22c3}">
        <chartProps xmlns="https://web.wps.cn/et/2018/main" chartId="{1c0873c1-f44c-4e6b-b94c-84ef9b7686cd}"/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zh-CN"/>
      </a:pPr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elete val="1"/>
          </c:dLbls>
          <c:xVal>
            <c:numRef>
              <c:f>Sheet2!$B$42:$B$61</c:f>
              <c:numCache>
                <c:formatCode>General</c:formatCode>
                <c:ptCount val="20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</c:numCache>
            </c:numRef>
          </c:xVal>
          <c:yVal>
            <c:numRef>
              <c:f>Sheet2!$G$19:$G$38</c:f>
              <c:numCache>
                <c:formatCode>General</c:formatCode>
                <c:ptCount val="20"/>
                <c:pt idx="0">
                  <c:v>26</c:v>
                </c:pt>
                <c:pt idx="1">
                  <c:v>29</c:v>
                </c:pt>
                <c:pt idx="2">
                  <c:v>29</c:v>
                </c:pt>
                <c:pt idx="3">
                  <c:v>32</c:v>
                </c:pt>
                <c:pt idx="4">
                  <c:v>36</c:v>
                </c:pt>
                <c:pt idx="5">
                  <c:v>38</c:v>
                </c:pt>
                <c:pt idx="6">
                  <c:v>41</c:v>
                </c:pt>
                <c:pt idx="7">
                  <c:v>42</c:v>
                </c:pt>
                <c:pt idx="8">
                  <c:v>42</c:v>
                </c:pt>
                <c:pt idx="9">
                  <c:v>42</c:v>
                </c:pt>
                <c:pt idx="10">
                  <c:v>41</c:v>
                </c:pt>
                <c:pt idx="11">
                  <c:v>41</c:v>
                </c:pt>
                <c:pt idx="12">
                  <c:v>40</c:v>
                </c:pt>
                <c:pt idx="13">
                  <c:v>40</c:v>
                </c:pt>
                <c:pt idx="14">
                  <c:v>39</c:v>
                </c:pt>
                <c:pt idx="15">
                  <c:v>44</c:v>
                </c:pt>
                <c:pt idx="16">
                  <c:v>63</c:v>
                </c:pt>
                <c:pt idx="17">
                  <c:v>87</c:v>
                </c:pt>
                <c:pt idx="18">
                  <c:v>96</c:v>
                </c:pt>
                <c:pt idx="19">
                  <c:v>97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69549024"/>
        <c:axId val="269549584"/>
      </c:scatterChart>
      <c:valAx>
        <c:axId val="26954902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lang="zh-CN"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ja-JP"/>
                  <a:t>Time(min)</a:t>
                </a:r>
                <a:endParaRPr lang="ja-JP" altLang="en-US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269549584"/>
        <c:crosses val="autoZero"/>
        <c:crossBetween val="midCat"/>
      </c:valAx>
      <c:valAx>
        <c:axId val="269549584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lang="zh-CN"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ja-JP"/>
                  <a:t>Temperature(</a:t>
                </a:r>
                <a:r>
                  <a:rPr lang="ja-JP" altLang="en-US"/>
                  <a:t>℃</a:t>
                </a:r>
                <a:r>
                  <a:rPr lang="en-US" altLang="ja-JP"/>
                  <a:t>)</a:t>
                </a:r>
                <a:endParaRPr lang="ja-JP" altLang="en-US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26954902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  <c:extLst>
      <c:ext uri="{0b15fc19-7d7d-44ad-8c2d-2c3a37ce22c3}">
        <chartProps xmlns="https://web.wps.cn/et/2018/main" chartId="{fe58510b-6ac9-4ce6-954d-8f995ed35a09}"/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zh-CN"/>
      </a:pPr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marker"/>
        <c:varyColors val="0"/>
        <c:ser>
          <c:idx val="1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Lbls>
            <c:delete val="1"/>
          </c:dLbls>
          <c:xVal>
            <c:numRef>
              <c:f>Sheet2!$B$42:$B$61</c:f>
              <c:numCache>
                <c:formatCode>General</c:formatCode>
                <c:ptCount val="20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</c:numCache>
            </c:numRef>
          </c:xVal>
          <c:yVal>
            <c:numRef>
              <c:f>Sheet2!$C$42:$C$61</c:f>
              <c:numCache>
                <c:formatCode>General</c:formatCode>
                <c:ptCount val="20"/>
                <c:pt idx="0">
                  <c:v>4.15013891421446</c:v>
                </c:pt>
                <c:pt idx="1">
                  <c:v>4.13825795253111</c:v>
                </c:pt>
                <c:pt idx="2">
                  <c:v>4.04136866078817</c:v>
                </c:pt>
                <c:pt idx="3">
                  <c:v>4.13684320740347</c:v>
                </c:pt>
                <c:pt idx="4">
                  <c:v>4.02499548492273</c:v>
                </c:pt>
                <c:pt idx="5">
                  <c:v>4.45938266274427</c:v>
                </c:pt>
                <c:pt idx="6">
                  <c:v>4.17332801562883</c:v>
                </c:pt>
                <c:pt idx="7">
                  <c:v>4.22492708687181</c:v>
                </c:pt>
                <c:pt idx="8">
                  <c:v>4.2821274190903</c:v>
                </c:pt>
                <c:pt idx="9">
                  <c:v>4.51462160539644</c:v>
                </c:pt>
                <c:pt idx="10">
                  <c:v>4.67205164638335</c:v>
                </c:pt>
                <c:pt idx="11">
                  <c:v>4.37239497207361</c:v>
                </c:pt>
                <c:pt idx="12">
                  <c:v>4.51681185377533</c:v>
                </c:pt>
                <c:pt idx="13">
                  <c:v>3.93512191092464</c:v>
                </c:pt>
                <c:pt idx="14">
                  <c:v>3.53220541759418</c:v>
                </c:pt>
                <c:pt idx="15">
                  <c:v>3.01615240615314</c:v>
                </c:pt>
                <c:pt idx="16">
                  <c:v>2.85805640723923</c:v>
                </c:pt>
                <c:pt idx="17">
                  <c:v>3.32545755767239</c:v>
                </c:pt>
                <c:pt idx="18">
                  <c:v>3.470589696969</c:v>
                </c:pt>
                <c:pt idx="19">
                  <c:v>3.30919895127911</c:v>
                </c:pt>
              </c:numCache>
            </c:numRef>
          </c:yVal>
          <c:smooth val="0"/>
        </c:ser>
        <c:ser>
          <c:idx val="0"/>
          <c:order val="1"/>
          <c:tx>
            <c:strRef>
              <c:f>"Glu"</c:f>
              <c:strCache>
                <c:ptCount val="1"/>
                <c:pt idx="0">
                  <c:v>Glu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elete val="1"/>
          </c:dLbls>
          <c:xVal>
            <c:numRef>
              <c:f>Sheet2!$B$4:$B$16</c:f>
              <c:numCache>
                <c:formatCode>General</c:formatCode>
                <c:ptCount val="13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60</c:v>
                </c:pt>
                <c:pt idx="11">
                  <c:v>70</c:v>
                </c:pt>
                <c:pt idx="12">
                  <c:v>80</c:v>
                </c:pt>
              </c:numCache>
            </c:numRef>
          </c:xVal>
          <c:yVal>
            <c:numRef>
              <c:f>Sheet2!$C$4:$C$16</c:f>
              <c:numCache>
                <c:formatCode>General</c:formatCode>
                <c:ptCount val="13"/>
                <c:pt idx="0">
                  <c:v>4.74415843264093</c:v>
                </c:pt>
                <c:pt idx="1">
                  <c:v>4.92282788258976</c:v>
                </c:pt>
                <c:pt idx="2">
                  <c:v>4.9573207673391</c:v>
                </c:pt>
                <c:pt idx="3">
                  <c:v>31.6435851749908</c:v>
                </c:pt>
                <c:pt idx="4">
                  <c:v>33.5265241121324</c:v>
                </c:pt>
                <c:pt idx="5">
                  <c:v>33.9462435540554</c:v>
                </c:pt>
                <c:pt idx="6">
                  <c:v>37.1317754483676</c:v>
                </c:pt>
                <c:pt idx="7">
                  <c:v>41.4003799818172</c:v>
                </c:pt>
                <c:pt idx="8">
                  <c:v>42.4057953463909</c:v>
                </c:pt>
                <c:pt idx="9">
                  <c:v>38.8752514067154</c:v>
                </c:pt>
                <c:pt idx="10">
                  <c:v>38.7543441519203</c:v>
                </c:pt>
                <c:pt idx="11">
                  <c:v>37.1618769520352</c:v>
                </c:pt>
                <c:pt idx="12">
                  <c:v>36.0409426613772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69789216"/>
        <c:axId val="269789776"/>
      </c:scatterChart>
      <c:valAx>
        <c:axId val="2697892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lang="zh-CN"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ja-JP"/>
                  <a:t>Time(min)</a:t>
                </a:r>
                <a:endParaRPr lang="ja-JP" altLang="en-US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269789776"/>
        <c:crosses val="autoZero"/>
        <c:crossBetween val="midCat"/>
      </c:valAx>
      <c:valAx>
        <c:axId val="2697897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lang="zh-CN"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ja-JP"/>
                  <a:t>GABA(mg/100g)</a:t>
                </a:r>
                <a:endParaRPr lang="ja-JP" altLang="en-US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26978921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zh-CN"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</a:p>
      </c:txPr>
    </c:legend>
    <c:plotVisOnly val="1"/>
    <c:dispBlanksAs val="gap"/>
    <c:showDLblsOverMax val="0"/>
    <c:extLst>
      <c:ext uri="{0b15fc19-7d7d-44ad-8c2d-2c3a37ce22c3}">
        <chartProps xmlns="https://web.wps.cn/et/2018/main" chartId="{c3f9a343-c478-48bc-bb77-ae405da8e66e}"/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zh-CN"/>
      </a:pPr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marker"/>
        <c:varyColors val="0"/>
        <c:ser>
          <c:idx val="1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Lbls>
            <c:delete val="1"/>
          </c:dLbls>
          <c:xVal>
            <c:numRef>
              <c:f>Sheet2!$B$42:$B$59</c:f>
              <c:numCache>
                <c:formatCode>General</c:formatCode>
                <c:ptCount val="18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</c:numCache>
            </c:numRef>
          </c:xVal>
          <c:yVal>
            <c:numRef>
              <c:f>Sheet2!$G$19:$G$36</c:f>
              <c:numCache>
                <c:formatCode>General</c:formatCode>
                <c:ptCount val="18"/>
                <c:pt idx="0">
                  <c:v>26</c:v>
                </c:pt>
                <c:pt idx="1">
                  <c:v>29</c:v>
                </c:pt>
                <c:pt idx="2">
                  <c:v>29</c:v>
                </c:pt>
                <c:pt idx="3">
                  <c:v>32</c:v>
                </c:pt>
                <c:pt idx="4">
                  <c:v>36</c:v>
                </c:pt>
                <c:pt idx="5">
                  <c:v>38</c:v>
                </c:pt>
                <c:pt idx="6">
                  <c:v>41</c:v>
                </c:pt>
                <c:pt idx="7">
                  <c:v>42</c:v>
                </c:pt>
                <c:pt idx="8">
                  <c:v>42</c:v>
                </c:pt>
                <c:pt idx="9">
                  <c:v>42</c:v>
                </c:pt>
                <c:pt idx="10">
                  <c:v>41</c:v>
                </c:pt>
                <c:pt idx="11">
                  <c:v>41</c:v>
                </c:pt>
                <c:pt idx="12">
                  <c:v>40</c:v>
                </c:pt>
                <c:pt idx="13">
                  <c:v>40</c:v>
                </c:pt>
                <c:pt idx="14">
                  <c:v>39</c:v>
                </c:pt>
                <c:pt idx="15">
                  <c:v>44</c:v>
                </c:pt>
                <c:pt idx="16">
                  <c:v>63</c:v>
                </c:pt>
                <c:pt idx="17">
                  <c:v>87</c:v>
                </c:pt>
              </c:numCache>
            </c:numRef>
          </c:yVal>
          <c:smooth val="0"/>
        </c:ser>
        <c:ser>
          <c:idx val="0"/>
          <c:order val="1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elete val="1"/>
          </c:dLbls>
          <c:xVal>
            <c:numRef>
              <c:f>Sheet2!$B$4:$B$16</c:f>
              <c:numCache>
                <c:formatCode>General</c:formatCode>
                <c:ptCount val="13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60</c:v>
                </c:pt>
                <c:pt idx="11">
                  <c:v>70</c:v>
                </c:pt>
                <c:pt idx="12">
                  <c:v>80</c:v>
                </c:pt>
              </c:numCache>
            </c:numRef>
          </c:xVal>
          <c:yVal>
            <c:numRef>
              <c:f>Sheet2!$G$4:$G$16</c:f>
              <c:numCache>
                <c:formatCode>General</c:formatCode>
                <c:ptCount val="13"/>
                <c:pt idx="0">
                  <c:v>26</c:v>
                </c:pt>
                <c:pt idx="1">
                  <c:v>28</c:v>
                </c:pt>
                <c:pt idx="2">
                  <c:v>29</c:v>
                </c:pt>
                <c:pt idx="3">
                  <c:v>33</c:v>
                </c:pt>
                <c:pt idx="4">
                  <c:v>36</c:v>
                </c:pt>
                <c:pt idx="5">
                  <c:v>38</c:v>
                </c:pt>
                <c:pt idx="6">
                  <c:v>41</c:v>
                </c:pt>
                <c:pt idx="7">
                  <c:v>43</c:v>
                </c:pt>
                <c:pt idx="8">
                  <c:v>42</c:v>
                </c:pt>
                <c:pt idx="9">
                  <c:v>42</c:v>
                </c:pt>
                <c:pt idx="10">
                  <c:v>40</c:v>
                </c:pt>
                <c:pt idx="11">
                  <c:v>40</c:v>
                </c:pt>
                <c:pt idx="12">
                  <c:v>55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69792576"/>
        <c:axId val="269793136"/>
      </c:scatterChart>
      <c:valAx>
        <c:axId val="26979257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lang="zh-CN"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ja-JP"/>
                  <a:t>Time(min)</a:t>
                </a:r>
                <a:endParaRPr lang="ja-JP" altLang="en-US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269793136"/>
        <c:crosses val="autoZero"/>
        <c:crossBetween val="midCat"/>
      </c:valAx>
      <c:valAx>
        <c:axId val="269793136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lang="zh-CN"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ja-JP"/>
                  <a:t>Temperature(</a:t>
                </a:r>
                <a:r>
                  <a:rPr lang="ja-JP" altLang="en-US"/>
                  <a:t>℃</a:t>
                </a:r>
                <a:r>
                  <a:rPr lang="en-US" altLang="ja-JP"/>
                  <a:t>)</a:t>
                </a:r>
                <a:endParaRPr lang="ja-JP" altLang="en-US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26979257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  <c:extLst>
      <c:ext uri="{0b15fc19-7d7d-44ad-8c2d-2c3a37ce22c3}">
        <chartProps xmlns="https://web.wps.cn/et/2018/main" chartId="{180e2392-845b-42c1-96f2-001d12da6d9b}"/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zh-CN"/>
      </a:pPr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marker"/>
        <c:varyColors val="0"/>
        <c:ser>
          <c:idx val="0"/>
          <c:order val="1"/>
          <c:tx>
            <c:strRef>
              <c:f>"GABA量"</c:f>
              <c:strCache>
                <c:ptCount val="1"/>
                <c:pt idx="0">
                  <c:v>GABA量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FF0000"/>
              </a:solidFill>
              <a:ln w="9525">
                <a:noFill/>
              </a:ln>
              <a:effectLst/>
            </c:spPr>
          </c:marker>
          <c:dLbls>
            <c:delete val="1"/>
          </c:dLbls>
          <c:xVal>
            <c:numRef>
              <c:f>Sheet2!$B$4:$B$16</c:f>
              <c:numCache>
                <c:formatCode>General</c:formatCode>
                <c:ptCount val="13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60</c:v>
                </c:pt>
                <c:pt idx="11">
                  <c:v>70</c:v>
                </c:pt>
                <c:pt idx="12">
                  <c:v>80</c:v>
                </c:pt>
              </c:numCache>
            </c:numRef>
          </c:xVal>
          <c:yVal>
            <c:numRef>
              <c:f>Sheet2!$C$4:$C$16</c:f>
              <c:numCache>
                <c:formatCode>General</c:formatCode>
                <c:ptCount val="13"/>
                <c:pt idx="0">
                  <c:v>4.74415843264093</c:v>
                </c:pt>
                <c:pt idx="1">
                  <c:v>4.92282788258976</c:v>
                </c:pt>
                <c:pt idx="2">
                  <c:v>4.9573207673391</c:v>
                </c:pt>
                <c:pt idx="3">
                  <c:v>31.6435851749908</c:v>
                </c:pt>
                <c:pt idx="4">
                  <c:v>33.5265241121324</c:v>
                </c:pt>
                <c:pt idx="5">
                  <c:v>33.9462435540554</c:v>
                </c:pt>
                <c:pt idx="6">
                  <c:v>37.1317754483676</c:v>
                </c:pt>
                <c:pt idx="7">
                  <c:v>41.4003799818172</c:v>
                </c:pt>
                <c:pt idx="8">
                  <c:v>42.4057953463909</c:v>
                </c:pt>
                <c:pt idx="9">
                  <c:v>38.8752514067154</c:v>
                </c:pt>
                <c:pt idx="10">
                  <c:v>38.7543441519203</c:v>
                </c:pt>
                <c:pt idx="11">
                  <c:v>37.1618769520352</c:v>
                </c:pt>
                <c:pt idx="12">
                  <c:v>36.0409426613772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69977616"/>
        <c:axId val="269978176"/>
      </c:scatterChart>
      <c:scatterChart>
        <c:scatterStyle val="lineMarker"/>
        <c:varyColors val="0"/>
        <c:ser>
          <c:idx val="1"/>
          <c:order val="0"/>
          <c:tx>
            <c:strRef>
              <c:f>"生地温度"</c:f>
              <c:strCache>
                <c:ptCount val="1"/>
                <c:pt idx="0">
                  <c:v>生地温度</c:v>
                </c:pt>
              </c:strCache>
            </c:strRef>
          </c:tx>
          <c:spPr>
            <a:ln w="25400" cap="rnd">
              <a:solidFill>
                <a:schemeClr val="tx1"/>
              </a:solidFill>
              <a:prstDash val="sysDot"/>
              <a:round/>
            </a:ln>
            <a:effectLst/>
          </c:spPr>
          <c:marker>
            <c:symbol val="circle"/>
            <c:size val="2"/>
            <c:spPr>
              <a:noFill/>
              <a:ln w="9525">
                <a:solidFill>
                  <a:schemeClr val="tx1"/>
                </a:solidFill>
                <a:prstDash val="sysDot"/>
              </a:ln>
              <a:effectLst/>
            </c:spPr>
          </c:marker>
          <c:dLbls>
            <c:delete val="1"/>
          </c:dLbls>
          <c:xVal>
            <c:numRef>
              <c:f>Sheet2!$B$4:$B$16</c:f>
              <c:numCache>
                <c:formatCode>General</c:formatCode>
                <c:ptCount val="13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60</c:v>
                </c:pt>
                <c:pt idx="11">
                  <c:v>70</c:v>
                </c:pt>
                <c:pt idx="12">
                  <c:v>80</c:v>
                </c:pt>
              </c:numCache>
            </c:numRef>
          </c:xVal>
          <c:yVal>
            <c:numRef>
              <c:f>Sheet2!$G$4:$G$16</c:f>
              <c:numCache>
                <c:formatCode>General</c:formatCode>
                <c:ptCount val="13"/>
                <c:pt idx="0">
                  <c:v>26</c:v>
                </c:pt>
                <c:pt idx="1">
                  <c:v>28</c:v>
                </c:pt>
                <c:pt idx="2">
                  <c:v>29</c:v>
                </c:pt>
                <c:pt idx="3">
                  <c:v>33</c:v>
                </c:pt>
                <c:pt idx="4">
                  <c:v>36</c:v>
                </c:pt>
                <c:pt idx="5">
                  <c:v>38</c:v>
                </c:pt>
                <c:pt idx="6">
                  <c:v>41</c:v>
                </c:pt>
                <c:pt idx="7">
                  <c:v>43</c:v>
                </c:pt>
                <c:pt idx="8">
                  <c:v>42</c:v>
                </c:pt>
                <c:pt idx="9">
                  <c:v>42</c:v>
                </c:pt>
                <c:pt idx="10">
                  <c:v>40</c:v>
                </c:pt>
                <c:pt idx="11">
                  <c:v>40</c:v>
                </c:pt>
                <c:pt idx="12">
                  <c:v>55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69979296"/>
        <c:axId val="269978736"/>
      </c:scatterChart>
      <c:valAx>
        <c:axId val="2699776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lang="zh-CN"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ja-JP"/>
                  <a:t>Time(min)</a:t>
                </a:r>
                <a:endParaRPr lang="ja-JP" altLang="en-US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269978176"/>
        <c:crosses val="autoZero"/>
        <c:crossBetween val="midCat"/>
      </c:valAx>
      <c:valAx>
        <c:axId val="2699781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lang="zh-CN"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ja-JP"/>
                  <a:t>GABA(mg/100g)</a:t>
                </a:r>
                <a:endParaRPr lang="ja-JP" altLang="en-US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269977616"/>
        <c:crosses val="autoZero"/>
        <c:crossBetween val="midCat"/>
      </c:valAx>
      <c:valAx>
        <c:axId val="26997929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269978736"/>
        <c:crosses val="autoZero"/>
        <c:crossBetween val="midCat"/>
      </c:valAx>
      <c:valAx>
        <c:axId val="269978736"/>
        <c:scaling>
          <c:orientation val="minMax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lang="zh-CN"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ja-JP" sz="1200" b="0" i="0" baseline="0">
                    <a:effectLst/>
                  </a:rPr>
                  <a:t>Temperature(</a:t>
                </a:r>
                <a:r>
                  <a:rPr lang="ja-JP" altLang="ja-JP" sz="1200" b="0" i="0" baseline="0">
                    <a:effectLst/>
                  </a:rPr>
                  <a:t>℃</a:t>
                </a:r>
                <a:r>
                  <a:rPr lang="en-US" altLang="ja-JP" sz="1200" b="0" i="0" baseline="0">
                    <a:effectLst/>
                  </a:rPr>
                  <a:t>)</a:t>
                </a:r>
                <a:endParaRPr lang="ja-JP" altLang="ja-JP" sz="1200">
                  <a:effectLst/>
                </a:endParaRP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269979296"/>
        <c:crosses val="max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zh-CN"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</a:p>
      </c:txPr>
    </c:legend>
    <c:plotVisOnly val="1"/>
    <c:dispBlanksAs val="gap"/>
    <c:showDLblsOverMax val="0"/>
    <c:extLst>
      <c:ext uri="{0b15fc19-7d7d-44ad-8c2d-2c3a37ce22c3}">
        <chartProps xmlns="https://web.wps.cn/et/2018/main" chartId="{b25d6f34-6e51-4b32-8b3e-74c9c7380895}"/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zh-CN"/>
      </a:pPr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marker"/>
        <c:varyColors val="0"/>
        <c:ser>
          <c:idx val="0"/>
          <c:order val="1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elete val="1"/>
          </c:dLbls>
          <c:xVal>
            <c:numRef>
              <c:f>Sheet2!$B$42:$B$61</c:f>
              <c:numCache>
                <c:formatCode>General</c:formatCode>
                <c:ptCount val="20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</c:numCache>
            </c:numRef>
          </c:xVal>
          <c:yVal>
            <c:numRef>
              <c:f>Sheet2!$C$42:$C$61</c:f>
              <c:numCache>
                <c:formatCode>General</c:formatCode>
                <c:ptCount val="20"/>
                <c:pt idx="0">
                  <c:v>4.15013891421446</c:v>
                </c:pt>
                <c:pt idx="1">
                  <c:v>4.13825795253111</c:v>
                </c:pt>
                <c:pt idx="2">
                  <c:v>4.04136866078817</c:v>
                </c:pt>
                <c:pt idx="3">
                  <c:v>4.13684320740347</c:v>
                </c:pt>
                <c:pt idx="4">
                  <c:v>4.02499548492273</c:v>
                </c:pt>
                <c:pt idx="5">
                  <c:v>4.45938266274427</c:v>
                </c:pt>
                <c:pt idx="6">
                  <c:v>4.17332801562883</c:v>
                </c:pt>
                <c:pt idx="7">
                  <c:v>4.22492708687181</c:v>
                </c:pt>
                <c:pt idx="8">
                  <c:v>4.2821274190903</c:v>
                </c:pt>
                <c:pt idx="9">
                  <c:v>4.51462160539644</c:v>
                </c:pt>
                <c:pt idx="10">
                  <c:v>4.67205164638335</c:v>
                </c:pt>
                <c:pt idx="11">
                  <c:v>4.37239497207361</c:v>
                </c:pt>
                <c:pt idx="12">
                  <c:v>4.51681185377533</c:v>
                </c:pt>
                <c:pt idx="13">
                  <c:v>3.93512191092464</c:v>
                </c:pt>
                <c:pt idx="14">
                  <c:v>3.53220541759418</c:v>
                </c:pt>
                <c:pt idx="15">
                  <c:v>3.01615240615314</c:v>
                </c:pt>
                <c:pt idx="16">
                  <c:v>2.85805640723923</c:v>
                </c:pt>
                <c:pt idx="17">
                  <c:v>3.32545755767239</c:v>
                </c:pt>
                <c:pt idx="18">
                  <c:v>3.470589696969</c:v>
                </c:pt>
                <c:pt idx="19">
                  <c:v>3.30919895127911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69982096"/>
        <c:axId val="269982656"/>
      </c:scatterChart>
      <c:scatterChart>
        <c:scatterStyle val="marker"/>
        <c:varyColors val="0"/>
        <c:ser>
          <c:idx val="1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Lbls>
            <c:delete val="1"/>
          </c:dLbls>
          <c:xVal>
            <c:numRef>
              <c:f>Sheet2!$B$42:$B$61</c:f>
              <c:numCache>
                <c:formatCode>General</c:formatCode>
                <c:ptCount val="20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</c:numCache>
            </c:numRef>
          </c:xVal>
          <c:yVal>
            <c:numRef>
              <c:f>Sheet2!$G$19:$G$38</c:f>
              <c:numCache>
                <c:formatCode>General</c:formatCode>
                <c:ptCount val="20"/>
                <c:pt idx="0">
                  <c:v>26</c:v>
                </c:pt>
                <c:pt idx="1">
                  <c:v>29</c:v>
                </c:pt>
                <c:pt idx="2">
                  <c:v>29</c:v>
                </c:pt>
                <c:pt idx="3">
                  <c:v>32</c:v>
                </c:pt>
                <c:pt idx="4">
                  <c:v>36</c:v>
                </c:pt>
                <c:pt idx="5">
                  <c:v>38</c:v>
                </c:pt>
                <c:pt idx="6">
                  <c:v>41</c:v>
                </c:pt>
                <c:pt idx="7">
                  <c:v>42</c:v>
                </c:pt>
                <c:pt idx="8">
                  <c:v>42</c:v>
                </c:pt>
                <c:pt idx="9">
                  <c:v>42</c:v>
                </c:pt>
                <c:pt idx="10">
                  <c:v>41</c:v>
                </c:pt>
                <c:pt idx="11">
                  <c:v>41</c:v>
                </c:pt>
                <c:pt idx="12">
                  <c:v>40</c:v>
                </c:pt>
                <c:pt idx="13">
                  <c:v>40</c:v>
                </c:pt>
                <c:pt idx="14">
                  <c:v>39</c:v>
                </c:pt>
                <c:pt idx="15">
                  <c:v>44</c:v>
                </c:pt>
                <c:pt idx="16">
                  <c:v>63</c:v>
                </c:pt>
                <c:pt idx="17">
                  <c:v>87</c:v>
                </c:pt>
                <c:pt idx="18">
                  <c:v>96</c:v>
                </c:pt>
                <c:pt idx="19">
                  <c:v>97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69983776"/>
        <c:axId val="269983216"/>
      </c:scatterChart>
      <c:valAx>
        <c:axId val="26998209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lang="zh-CN"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ja-JP"/>
                  <a:t>Time(min)</a:t>
                </a:r>
                <a:endParaRPr lang="ja-JP" altLang="en-US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269982656"/>
        <c:crosses val="autoZero"/>
        <c:crossBetween val="midCat"/>
      </c:valAx>
      <c:valAx>
        <c:axId val="2699826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lang="zh-CN"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ja-JP"/>
                  <a:t>GABA(mg/100g)</a:t>
                </a:r>
                <a:endParaRPr lang="ja-JP" altLang="en-US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269982096"/>
        <c:crosses val="autoZero"/>
        <c:crossBetween val="midCat"/>
      </c:valAx>
      <c:valAx>
        <c:axId val="26998377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269983216"/>
        <c:crosses val="autoZero"/>
        <c:crossBetween val="midCat"/>
      </c:valAx>
      <c:valAx>
        <c:axId val="269983216"/>
        <c:scaling>
          <c:orientation val="minMax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lang="zh-CN"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ja-JP"/>
                  <a:t>Temperature(</a:t>
                </a:r>
                <a:r>
                  <a:rPr lang="ja-JP" altLang="en-US"/>
                  <a:t>℃</a:t>
                </a:r>
                <a:r>
                  <a:rPr lang="en-US" altLang="ja-JP"/>
                  <a:t>)</a:t>
                </a:r>
                <a:endParaRPr lang="ja-JP" altLang="en-US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269983776"/>
        <c:crosses val="max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zh-CN"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</a:p>
      </c:txPr>
    </c:legend>
    <c:plotVisOnly val="1"/>
    <c:dispBlanksAs val="gap"/>
    <c:showDLblsOverMax val="0"/>
    <c:extLst>
      <c:ext uri="{0b15fc19-7d7d-44ad-8c2d-2c3a37ce22c3}">
        <chartProps xmlns="https://web.wps.cn/et/2018/main" chartId="{f564a9f7-47ba-4ee6-804d-e0afd3e6bb2d}"/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zh-CN"/>
      </a:pPr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5483814523185"/>
          <c:y val="0.0509259259259259"/>
          <c:w val="0.756393482064742"/>
          <c:h val="0.743503207932342"/>
        </c:manualLayout>
      </c:layout>
      <c:scatterChart>
        <c:scatterStyle val="marker"/>
        <c:varyColors val="0"/>
        <c:ser>
          <c:idx val="1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noFill/>
              </a:ln>
              <a:effectLst/>
            </c:spPr>
          </c:marker>
          <c:dLbls>
            <c:delete val="1"/>
          </c:dLbls>
          <c:errBars>
            <c:errDir val="y"/>
            <c:errBarType val="both"/>
            <c:errValType val="cust"/>
            <c:noEndCap val="0"/>
            <c:plus>
              <c:numRef>
                <c:f>Sheet2!$D$66:$D$81</c:f>
                <c:numCache>
                  <c:formatCode>General</c:formatCode>
                  <c:ptCount val="16"/>
                  <c:pt idx="0">
                    <c:v>0.0721878040217749</c:v>
                  </c:pt>
                  <c:pt idx="1">
                    <c:v>0.0721975558043977</c:v>
                  </c:pt>
                  <c:pt idx="2">
                    <c:v>0.0998282736377732</c:v>
                  </c:pt>
                  <c:pt idx="3">
                    <c:v>0.163024821665531</c:v>
                  </c:pt>
                  <c:pt idx="4">
                    <c:v>0.378345372580047</c:v>
                  </c:pt>
                  <c:pt idx="5">
                    <c:v>0.100336909945842</c:v>
                  </c:pt>
                  <c:pt idx="6">
                    <c:v>0.555972319505067</c:v>
                  </c:pt>
                  <c:pt idx="7">
                    <c:v>0.457789436662617</c:v>
                  </c:pt>
                  <c:pt idx="8">
                    <c:v>0.183043535358664</c:v>
                  </c:pt>
                  <c:pt idx="9">
                    <c:v>0.573188746085538</c:v>
                  </c:pt>
                  <c:pt idx="10">
                    <c:v>0.396857459402314</c:v>
                  </c:pt>
                  <c:pt idx="11">
                    <c:v>0.286239817954431</c:v>
                  </c:pt>
                  <c:pt idx="12">
                    <c:v>0.350663506594123</c:v>
                  </c:pt>
                  <c:pt idx="13">
                    <c:v>0.743291180939373</c:v>
                  </c:pt>
                  <c:pt idx="14">
                    <c:v>0.174302379578875</c:v>
                  </c:pt>
                  <c:pt idx="15">
                    <c:v>0.445638230391219</c:v>
                  </c:pt>
                </c:numCache>
              </c:numRef>
            </c:plus>
            <c:minus>
              <c:numRef>
                <c:f>Sheet2!$D$66:$D$81</c:f>
                <c:numCache>
                  <c:formatCode>General</c:formatCode>
                  <c:ptCount val="16"/>
                  <c:pt idx="0">
                    <c:v>0.0721878040217749</c:v>
                  </c:pt>
                  <c:pt idx="1">
                    <c:v>0.0721975558043977</c:v>
                  </c:pt>
                  <c:pt idx="2">
                    <c:v>0.0998282736377732</c:v>
                  </c:pt>
                  <c:pt idx="3">
                    <c:v>0.163024821665531</c:v>
                  </c:pt>
                  <c:pt idx="4">
                    <c:v>0.378345372580047</c:v>
                  </c:pt>
                  <c:pt idx="5">
                    <c:v>0.100336909945842</c:v>
                  </c:pt>
                  <c:pt idx="6">
                    <c:v>0.555972319505067</c:v>
                  </c:pt>
                  <c:pt idx="7">
                    <c:v>0.457789436662617</c:v>
                  </c:pt>
                  <c:pt idx="8">
                    <c:v>0.183043535358664</c:v>
                  </c:pt>
                  <c:pt idx="9">
                    <c:v>0.573188746085538</c:v>
                  </c:pt>
                  <c:pt idx="10">
                    <c:v>0.396857459402314</c:v>
                  </c:pt>
                  <c:pt idx="11">
                    <c:v>0.286239817954431</c:v>
                  </c:pt>
                  <c:pt idx="12">
                    <c:v>0.350663506594123</c:v>
                  </c:pt>
                  <c:pt idx="13">
                    <c:v>0.743291180939373</c:v>
                  </c:pt>
                  <c:pt idx="14">
                    <c:v>0.174302379578875</c:v>
                  </c:pt>
                  <c:pt idx="15">
                    <c:v>0.445638230391219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Sheet2!$B$66:$B$80</c:f>
              <c:numCache>
                <c:formatCode>General</c:formatCode>
                <c:ptCount val="15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</c:numCache>
            </c:numRef>
          </c:xVal>
          <c:yVal>
            <c:numRef>
              <c:f>Sheet2!$C$66:$C$80</c:f>
              <c:numCache>
                <c:formatCode>General</c:formatCode>
                <c:ptCount val="15"/>
                <c:pt idx="0">
                  <c:v>5.11979014257975</c:v>
                </c:pt>
                <c:pt idx="1">
                  <c:v>5.023870876216</c:v>
                </c:pt>
                <c:pt idx="2">
                  <c:v>4.93425181538385</c:v>
                </c:pt>
                <c:pt idx="3">
                  <c:v>5.11087118517285</c:v>
                </c:pt>
                <c:pt idx="4">
                  <c:v>5.41322523028272</c:v>
                </c:pt>
                <c:pt idx="5">
                  <c:v>5.11166775345903</c:v>
                </c:pt>
                <c:pt idx="6">
                  <c:v>5.58791358539139</c:v>
                </c:pt>
                <c:pt idx="7">
                  <c:v>5.92396029675332</c:v>
                </c:pt>
                <c:pt idx="8">
                  <c:v>5.77687277203306</c:v>
                </c:pt>
                <c:pt idx="9">
                  <c:v>6.49749896506614</c:v>
                </c:pt>
                <c:pt idx="10">
                  <c:v>7.28693085783712</c:v>
                </c:pt>
                <c:pt idx="11">
                  <c:v>7.65695332018937</c:v>
                </c:pt>
                <c:pt idx="12">
                  <c:v>7.5146293655977</c:v>
                </c:pt>
                <c:pt idx="13">
                  <c:v>8.07967677143338</c:v>
                </c:pt>
                <c:pt idx="14">
                  <c:v>6.59739452412172</c:v>
                </c:pt>
              </c:numCache>
            </c:numRef>
          </c:yVal>
          <c:smooth val="0"/>
        </c:ser>
        <c:ser>
          <c:idx val="2"/>
          <c:order val="1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dLbls>
            <c:delete val="1"/>
          </c:dLbls>
          <c:errBars>
            <c:errDir val="y"/>
            <c:errBarType val="both"/>
            <c:errValType val="cust"/>
            <c:noEndCap val="0"/>
            <c:plus>
              <c:numRef>
                <c:f>Sheet2!$D$42:$D$61</c:f>
                <c:numCache>
                  <c:formatCode>General</c:formatCode>
                  <c:ptCount val="20"/>
                  <c:pt idx="0">
                    <c:v>0.21956797597622</c:v>
                  </c:pt>
                  <c:pt idx="1">
                    <c:v>0.0640729189764606</c:v>
                  </c:pt>
                  <c:pt idx="2">
                    <c:v>0.101168139741804</c:v>
                  </c:pt>
                  <c:pt idx="3">
                    <c:v>0.0541111614042327</c:v>
                  </c:pt>
                  <c:pt idx="4">
                    <c:v>0.0332319186173513</c:v>
                  </c:pt>
                  <c:pt idx="5">
                    <c:v>0.546100525283983</c:v>
                  </c:pt>
                  <c:pt idx="6">
                    <c:v>0.0360793817876545</c:v>
                  </c:pt>
                  <c:pt idx="7">
                    <c:v>0.188379665041502</c:v>
                  </c:pt>
                  <c:pt idx="8">
                    <c:v>0.0787135578482029</c:v>
                  </c:pt>
                  <c:pt idx="9">
                    <c:v>0.159271039956568</c:v>
                  </c:pt>
                  <c:pt idx="10">
                    <c:v>0.150506597051483</c:v>
                  </c:pt>
                  <c:pt idx="11">
                    <c:v>0.169934502644752</c:v>
                  </c:pt>
                  <c:pt idx="12">
                    <c:v>0.3834553318024</c:v>
                  </c:pt>
                  <c:pt idx="13">
                    <c:v>0.22279042271071</c:v>
                  </c:pt>
                  <c:pt idx="14">
                    <c:v>0.14043361386471</c:v>
                  </c:pt>
                  <c:pt idx="15">
                    <c:v>0.107001858153122</c:v>
                  </c:pt>
                  <c:pt idx="16">
                    <c:v>0.0381737594087564</c:v>
                  </c:pt>
                  <c:pt idx="17">
                    <c:v>0.0327448373676006</c:v>
                  </c:pt>
                  <c:pt idx="18">
                    <c:v>0.0638662348134665</c:v>
                  </c:pt>
                  <c:pt idx="19">
                    <c:v>0.0357816891192411</c:v>
                  </c:pt>
                </c:numCache>
              </c:numRef>
            </c:plus>
            <c:minus>
              <c:numRef>
                <c:f>Sheet2!$D$42:$D$61</c:f>
                <c:numCache>
                  <c:formatCode>General</c:formatCode>
                  <c:ptCount val="20"/>
                  <c:pt idx="0">
                    <c:v>0.21956797597622</c:v>
                  </c:pt>
                  <c:pt idx="1">
                    <c:v>0.0640729189764606</c:v>
                  </c:pt>
                  <c:pt idx="2">
                    <c:v>0.101168139741804</c:v>
                  </c:pt>
                  <c:pt idx="3">
                    <c:v>0.0541111614042327</c:v>
                  </c:pt>
                  <c:pt idx="4">
                    <c:v>0.0332319186173513</c:v>
                  </c:pt>
                  <c:pt idx="5">
                    <c:v>0.546100525283983</c:v>
                  </c:pt>
                  <c:pt idx="6">
                    <c:v>0.0360793817876545</c:v>
                  </c:pt>
                  <c:pt idx="7">
                    <c:v>0.188379665041502</c:v>
                  </c:pt>
                  <c:pt idx="8">
                    <c:v>0.0787135578482029</c:v>
                  </c:pt>
                  <c:pt idx="9">
                    <c:v>0.159271039956568</c:v>
                  </c:pt>
                  <c:pt idx="10">
                    <c:v>0.150506597051483</c:v>
                  </c:pt>
                  <c:pt idx="11">
                    <c:v>0.169934502644752</c:v>
                  </c:pt>
                  <c:pt idx="12">
                    <c:v>0.3834553318024</c:v>
                  </c:pt>
                  <c:pt idx="13">
                    <c:v>0.22279042271071</c:v>
                  </c:pt>
                  <c:pt idx="14">
                    <c:v>0.14043361386471</c:v>
                  </c:pt>
                  <c:pt idx="15">
                    <c:v>0.107001858153122</c:v>
                  </c:pt>
                  <c:pt idx="16">
                    <c:v>0.0381737594087564</c:v>
                  </c:pt>
                  <c:pt idx="17">
                    <c:v>0.0327448373676006</c:v>
                  </c:pt>
                  <c:pt idx="18">
                    <c:v>0.0638662348134665</c:v>
                  </c:pt>
                  <c:pt idx="19">
                    <c:v>0.0357816891192411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Sheet2!$B$42:$B$59</c:f>
              <c:numCache>
                <c:formatCode>General</c:formatCode>
                <c:ptCount val="18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</c:numCache>
            </c:numRef>
          </c:xVal>
          <c:yVal>
            <c:numRef>
              <c:f>Sheet2!$C$42:$C$59</c:f>
              <c:numCache>
                <c:formatCode>General</c:formatCode>
                <c:ptCount val="18"/>
                <c:pt idx="0">
                  <c:v>4.15013891421446</c:v>
                </c:pt>
                <c:pt idx="1">
                  <c:v>4.13825795253111</c:v>
                </c:pt>
                <c:pt idx="2">
                  <c:v>4.04136866078817</c:v>
                </c:pt>
                <c:pt idx="3">
                  <c:v>4.13684320740347</c:v>
                </c:pt>
                <c:pt idx="4">
                  <c:v>4.02499548492273</c:v>
                </c:pt>
                <c:pt idx="5">
                  <c:v>4.45938266274427</c:v>
                </c:pt>
                <c:pt idx="6">
                  <c:v>4.17332801562883</c:v>
                </c:pt>
                <c:pt idx="7">
                  <c:v>4.22492708687181</c:v>
                </c:pt>
                <c:pt idx="8">
                  <c:v>4.2821274190903</c:v>
                </c:pt>
                <c:pt idx="9">
                  <c:v>4.51462160539644</c:v>
                </c:pt>
                <c:pt idx="10">
                  <c:v>4.67205164638335</c:v>
                </c:pt>
                <c:pt idx="11">
                  <c:v>4.37239497207361</c:v>
                </c:pt>
                <c:pt idx="12">
                  <c:v>4.51681185377533</c:v>
                </c:pt>
                <c:pt idx="13">
                  <c:v>3.93512191092464</c:v>
                </c:pt>
                <c:pt idx="14">
                  <c:v>3.53220541759418</c:v>
                </c:pt>
                <c:pt idx="15">
                  <c:v>3.01615240615314</c:v>
                </c:pt>
                <c:pt idx="16">
                  <c:v>2.85805640723923</c:v>
                </c:pt>
                <c:pt idx="17">
                  <c:v>3.32545755767239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70167744"/>
        <c:axId val="270168304"/>
      </c:scatterChart>
      <c:scatterChart>
        <c:scatterStyle val="line"/>
        <c:varyColors val="0"/>
        <c:ser>
          <c:idx val="0"/>
          <c:order val="2"/>
          <c:tx>
            <c:strRef>
              <c:f>"Temp."</c:f>
              <c:strCache>
                <c:ptCount val="1"/>
                <c:pt idx="0">
                  <c:v>Temp.</c:v>
                </c:pt>
              </c:strCache>
            </c:strRef>
          </c:tx>
          <c:spPr>
            <a:ln w="25400" cap="rnd">
              <a:solidFill>
                <a:schemeClr val="tx1">
                  <a:lumMod val="95000"/>
                  <a:lumOff val="5000"/>
                </a:schemeClr>
              </a:solidFill>
              <a:prstDash val="sysDot"/>
              <a:round/>
            </a:ln>
            <a:effectLst/>
          </c:spPr>
          <c:marker>
            <c:symbol val="none"/>
          </c:marker>
          <c:dLbls>
            <c:delete val="1"/>
          </c:dLbls>
          <c:xVal>
            <c:numRef>
              <c:f>Sheet2!$B$4:$B$16</c:f>
              <c:numCache>
                <c:formatCode>General</c:formatCode>
                <c:ptCount val="13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60</c:v>
                </c:pt>
                <c:pt idx="11">
                  <c:v>70</c:v>
                </c:pt>
                <c:pt idx="12">
                  <c:v>80</c:v>
                </c:pt>
              </c:numCache>
            </c:numRef>
          </c:xVal>
          <c:yVal>
            <c:numRef>
              <c:f>Sheet2!$G$4:$G$16</c:f>
              <c:numCache>
                <c:formatCode>General</c:formatCode>
                <c:ptCount val="13"/>
                <c:pt idx="0">
                  <c:v>26</c:v>
                </c:pt>
                <c:pt idx="1">
                  <c:v>28</c:v>
                </c:pt>
                <c:pt idx="2">
                  <c:v>29</c:v>
                </c:pt>
                <c:pt idx="3">
                  <c:v>33</c:v>
                </c:pt>
                <c:pt idx="4">
                  <c:v>36</c:v>
                </c:pt>
                <c:pt idx="5">
                  <c:v>38</c:v>
                </c:pt>
                <c:pt idx="6">
                  <c:v>41</c:v>
                </c:pt>
                <c:pt idx="7">
                  <c:v>43</c:v>
                </c:pt>
                <c:pt idx="8">
                  <c:v>42</c:v>
                </c:pt>
                <c:pt idx="9">
                  <c:v>42</c:v>
                </c:pt>
                <c:pt idx="10">
                  <c:v>40</c:v>
                </c:pt>
                <c:pt idx="11">
                  <c:v>40</c:v>
                </c:pt>
                <c:pt idx="12">
                  <c:v>55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70169424"/>
        <c:axId val="270168864"/>
      </c:scatterChart>
      <c:valAx>
        <c:axId val="270167744"/>
        <c:scaling>
          <c:orientation val="minMax"/>
          <c:max val="85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lang="zh-CN"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ja-JP"/>
                  <a:t>Time(min)</a:t>
                </a:r>
                <a:endParaRPr lang="ja-JP" altLang="en-US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270168304"/>
        <c:crosses val="autoZero"/>
        <c:crossBetween val="midCat"/>
      </c:valAx>
      <c:valAx>
        <c:axId val="270168304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lang="zh-CN"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ja-JP" sz="1000" b="1" i="0" u="none" strike="noStrike" baseline="0">
                    <a:effectLst/>
                  </a:rPr>
                  <a:t>GABA(mg/100g) </a:t>
                </a:r>
                <a:endParaRPr lang="ja-JP" altLang="en-US" b="1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270167744"/>
        <c:crosses val="autoZero"/>
        <c:crossBetween val="midCat"/>
      </c:valAx>
      <c:valAx>
        <c:axId val="27016942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270168864"/>
        <c:crosses val="autoZero"/>
        <c:crossBetween val="midCat"/>
      </c:valAx>
      <c:valAx>
        <c:axId val="270168864"/>
        <c:scaling>
          <c:orientation val="minMax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lang="zh-CN"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ja-JP" sz="1000" b="1" i="0" baseline="0">
                    <a:effectLst/>
                  </a:rPr>
                  <a:t>Temperature(</a:t>
                </a:r>
                <a:r>
                  <a:rPr lang="ja-JP" altLang="ja-JP" sz="1000" b="1" i="0" baseline="0">
                    <a:effectLst/>
                  </a:rPr>
                  <a:t>℃</a:t>
                </a:r>
                <a:r>
                  <a:rPr lang="en-US" altLang="ja-JP" sz="1000" b="1" i="0" baseline="0">
                    <a:effectLst/>
                  </a:rPr>
                  <a:t>)</a:t>
                </a:r>
                <a:endParaRPr lang="ja-JP" altLang="ja-JP" sz="1000" b="1">
                  <a:effectLst/>
                </a:endParaRP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270169424"/>
        <c:crosses val="max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179013779527559"/>
          <c:y val="0.563367235345582"/>
          <c:w val="0.168208442694663"/>
          <c:h val="0.23437664041994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zh-CN"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</a:p>
      </c:txPr>
    </c:legend>
    <c:plotVisOnly val="1"/>
    <c:dispBlanksAs val="gap"/>
    <c:showDLblsOverMax val="0"/>
    <c:extLst>
      <c:ext uri="{0b15fc19-7d7d-44ad-8c2d-2c3a37ce22c3}">
        <chartProps xmlns="https://web.wps.cn/et/2018/main" chartId="{5a9ffe2c-74f6-473a-8061-63aa2f5bbebb}"/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zh-CN"/>
      </a:pPr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marker"/>
        <c:varyColors val="0"/>
        <c:ser>
          <c:idx val="1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Lbls>
            <c:delete val="1"/>
          </c:dLbls>
          <c:errBars>
            <c:errDir val="y"/>
            <c:errBarType val="both"/>
            <c:errValType val="cust"/>
            <c:noEndCap val="0"/>
            <c:plus>
              <c:numRef>
                <c:f>Sheet2!$D$66:$D$81</c:f>
                <c:numCache>
                  <c:formatCode>General</c:formatCode>
                  <c:ptCount val="16"/>
                  <c:pt idx="0">
                    <c:v>0.0721878040217749</c:v>
                  </c:pt>
                  <c:pt idx="1">
                    <c:v>0.0721975558043977</c:v>
                  </c:pt>
                  <c:pt idx="2">
                    <c:v>0.0998282736377732</c:v>
                  </c:pt>
                  <c:pt idx="3">
                    <c:v>0.163024821665531</c:v>
                  </c:pt>
                  <c:pt idx="4">
                    <c:v>0.378345372580047</c:v>
                  </c:pt>
                  <c:pt idx="5">
                    <c:v>0.100336909945842</c:v>
                  </c:pt>
                  <c:pt idx="6">
                    <c:v>0.555972319505067</c:v>
                  </c:pt>
                  <c:pt idx="7">
                    <c:v>0.457789436662617</c:v>
                  </c:pt>
                  <c:pt idx="8">
                    <c:v>0.183043535358664</c:v>
                  </c:pt>
                  <c:pt idx="9">
                    <c:v>0.573188746085538</c:v>
                  </c:pt>
                  <c:pt idx="10">
                    <c:v>0.396857459402314</c:v>
                  </c:pt>
                  <c:pt idx="11">
                    <c:v>0.286239817954431</c:v>
                  </c:pt>
                  <c:pt idx="12">
                    <c:v>0.350663506594123</c:v>
                  </c:pt>
                  <c:pt idx="13">
                    <c:v>0.743291180939373</c:v>
                  </c:pt>
                  <c:pt idx="14">
                    <c:v>0.174302379578875</c:v>
                  </c:pt>
                  <c:pt idx="15">
                    <c:v>0.445638230391219</c:v>
                  </c:pt>
                </c:numCache>
              </c:numRef>
            </c:plus>
            <c:minus>
              <c:numRef>
                <c:f>Sheet2!$D$66:$D$81</c:f>
                <c:numCache>
                  <c:formatCode>General</c:formatCode>
                  <c:ptCount val="16"/>
                  <c:pt idx="0">
                    <c:v>0.0721878040217749</c:v>
                  </c:pt>
                  <c:pt idx="1">
                    <c:v>0.0721975558043977</c:v>
                  </c:pt>
                  <c:pt idx="2">
                    <c:v>0.0998282736377732</c:v>
                  </c:pt>
                  <c:pt idx="3">
                    <c:v>0.163024821665531</c:v>
                  </c:pt>
                  <c:pt idx="4">
                    <c:v>0.378345372580047</c:v>
                  </c:pt>
                  <c:pt idx="5">
                    <c:v>0.100336909945842</c:v>
                  </c:pt>
                  <c:pt idx="6">
                    <c:v>0.555972319505067</c:v>
                  </c:pt>
                  <c:pt idx="7">
                    <c:v>0.457789436662617</c:v>
                  </c:pt>
                  <c:pt idx="8">
                    <c:v>0.183043535358664</c:v>
                  </c:pt>
                  <c:pt idx="9">
                    <c:v>0.573188746085538</c:v>
                  </c:pt>
                  <c:pt idx="10">
                    <c:v>0.396857459402314</c:v>
                  </c:pt>
                  <c:pt idx="11">
                    <c:v>0.286239817954431</c:v>
                  </c:pt>
                  <c:pt idx="12">
                    <c:v>0.350663506594123</c:v>
                  </c:pt>
                  <c:pt idx="13">
                    <c:v>0.743291180939373</c:v>
                  </c:pt>
                  <c:pt idx="14">
                    <c:v>0.174302379578875</c:v>
                  </c:pt>
                  <c:pt idx="15">
                    <c:v>0.445638230391219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Sheet2!$B$66:$B$81</c:f>
              <c:numCache>
                <c:formatCode>General</c:formatCode>
                <c:ptCount val="16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</c:numCache>
            </c:numRef>
          </c:xVal>
          <c:yVal>
            <c:numRef>
              <c:f>Sheet2!$C$66:$C$81</c:f>
              <c:numCache>
                <c:formatCode>General</c:formatCode>
                <c:ptCount val="16"/>
                <c:pt idx="0">
                  <c:v>5.11979014257975</c:v>
                </c:pt>
                <c:pt idx="1">
                  <c:v>5.023870876216</c:v>
                </c:pt>
                <c:pt idx="2">
                  <c:v>4.93425181538385</c:v>
                </c:pt>
                <c:pt idx="3">
                  <c:v>5.11087118517285</c:v>
                </c:pt>
                <c:pt idx="4">
                  <c:v>5.41322523028272</c:v>
                </c:pt>
                <c:pt idx="5">
                  <c:v>5.11166775345903</c:v>
                </c:pt>
                <c:pt idx="6">
                  <c:v>5.58791358539139</c:v>
                </c:pt>
                <c:pt idx="7">
                  <c:v>5.92396029675332</c:v>
                </c:pt>
                <c:pt idx="8">
                  <c:v>5.77687277203306</c:v>
                </c:pt>
                <c:pt idx="9">
                  <c:v>6.49749896506614</c:v>
                </c:pt>
                <c:pt idx="10">
                  <c:v>7.28693085783712</c:v>
                </c:pt>
                <c:pt idx="11">
                  <c:v>7.65695332018937</c:v>
                </c:pt>
                <c:pt idx="12">
                  <c:v>7.5146293655977</c:v>
                </c:pt>
                <c:pt idx="13">
                  <c:v>8.07967677143338</c:v>
                </c:pt>
                <c:pt idx="14">
                  <c:v>6.59739452412172</c:v>
                </c:pt>
                <c:pt idx="15">
                  <c:v>6.4328477880615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70172224"/>
        <c:axId val="270172784"/>
      </c:scatterChart>
      <c:valAx>
        <c:axId val="27017222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lang="zh-CN"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ja-JP"/>
                  <a:t>Time(min)</a:t>
                </a:r>
                <a:endParaRPr lang="ja-JP" altLang="en-US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270172784"/>
        <c:crosses val="autoZero"/>
        <c:crossBetween val="midCat"/>
        <c:majorUnit val="10"/>
      </c:valAx>
      <c:valAx>
        <c:axId val="270172784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lang="zh-CN"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ja-JP"/>
                  <a:t>GABA(mg/100g)</a:t>
                </a:r>
                <a:endParaRPr lang="ja-JP" altLang="en-US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27017222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  <c:extLst>
      <c:ext uri="{0b15fc19-7d7d-44ad-8c2d-2c3a37ce22c3}">
        <chartProps xmlns="https://web.wps.cn/et/2018/main" chartId="{4465cb61-a53c-4400-a1d7-df72f003abb2}"/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zh-CN"/>
      </a:pPr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marker"/>
        <c:varyColors val="0"/>
        <c:ser>
          <c:idx val="1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Lbls>
            <c:delete val="1"/>
          </c:dLbls>
          <c:errBars>
            <c:errDir val="y"/>
            <c:errBarType val="both"/>
            <c:errValType val="cust"/>
            <c:noEndCap val="0"/>
            <c:plus>
              <c:numRef>
                <c:f>Sheet2!$D$66:$D$81</c:f>
                <c:numCache>
                  <c:formatCode>General</c:formatCode>
                  <c:ptCount val="16"/>
                  <c:pt idx="0">
                    <c:v>0.0721878040217749</c:v>
                  </c:pt>
                  <c:pt idx="1">
                    <c:v>0.0721975558043977</c:v>
                  </c:pt>
                  <c:pt idx="2">
                    <c:v>0.0998282736377732</c:v>
                  </c:pt>
                  <c:pt idx="3">
                    <c:v>0.163024821665531</c:v>
                  </c:pt>
                  <c:pt idx="4">
                    <c:v>0.378345372580047</c:v>
                  </c:pt>
                  <c:pt idx="5">
                    <c:v>0.100336909945842</c:v>
                  </c:pt>
                  <c:pt idx="6">
                    <c:v>0.555972319505067</c:v>
                  </c:pt>
                  <c:pt idx="7">
                    <c:v>0.457789436662617</c:v>
                  </c:pt>
                  <c:pt idx="8">
                    <c:v>0.183043535358664</c:v>
                  </c:pt>
                  <c:pt idx="9">
                    <c:v>0.573188746085538</c:v>
                  </c:pt>
                  <c:pt idx="10">
                    <c:v>0.396857459402314</c:v>
                  </c:pt>
                  <c:pt idx="11">
                    <c:v>0.286239817954431</c:v>
                  </c:pt>
                  <c:pt idx="12">
                    <c:v>0.350663506594123</c:v>
                  </c:pt>
                  <c:pt idx="13">
                    <c:v>0.743291180939373</c:v>
                  </c:pt>
                  <c:pt idx="14">
                    <c:v>0.174302379578875</c:v>
                  </c:pt>
                  <c:pt idx="15">
                    <c:v>0.445638230391219</c:v>
                  </c:pt>
                </c:numCache>
              </c:numRef>
            </c:plus>
            <c:minus>
              <c:numRef>
                <c:f>Sheet2!$D$66:$D$81</c:f>
                <c:numCache>
                  <c:formatCode>General</c:formatCode>
                  <c:ptCount val="16"/>
                  <c:pt idx="0">
                    <c:v>0.0721878040217749</c:v>
                  </c:pt>
                  <c:pt idx="1">
                    <c:v>0.0721975558043977</c:v>
                  </c:pt>
                  <c:pt idx="2">
                    <c:v>0.0998282736377732</c:v>
                  </c:pt>
                  <c:pt idx="3">
                    <c:v>0.163024821665531</c:v>
                  </c:pt>
                  <c:pt idx="4">
                    <c:v>0.378345372580047</c:v>
                  </c:pt>
                  <c:pt idx="5">
                    <c:v>0.100336909945842</c:v>
                  </c:pt>
                  <c:pt idx="6">
                    <c:v>0.555972319505067</c:v>
                  </c:pt>
                  <c:pt idx="7">
                    <c:v>0.457789436662617</c:v>
                  </c:pt>
                  <c:pt idx="8">
                    <c:v>0.183043535358664</c:v>
                  </c:pt>
                  <c:pt idx="9">
                    <c:v>0.573188746085538</c:v>
                  </c:pt>
                  <c:pt idx="10">
                    <c:v>0.396857459402314</c:v>
                  </c:pt>
                  <c:pt idx="11">
                    <c:v>0.286239817954431</c:v>
                  </c:pt>
                  <c:pt idx="12">
                    <c:v>0.350663506594123</c:v>
                  </c:pt>
                  <c:pt idx="13">
                    <c:v>0.743291180939373</c:v>
                  </c:pt>
                  <c:pt idx="14">
                    <c:v>0.174302379578875</c:v>
                  </c:pt>
                  <c:pt idx="15">
                    <c:v>0.445638230391219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Sheet2!$B$66:$B$81</c:f>
              <c:numCache>
                <c:formatCode>General</c:formatCode>
                <c:ptCount val="16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</c:numCache>
            </c:numRef>
          </c:xVal>
          <c:yVal>
            <c:numRef>
              <c:f>Sheet2!$C$66:$C$81</c:f>
              <c:numCache>
                <c:formatCode>General</c:formatCode>
                <c:ptCount val="16"/>
                <c:pt idx="0">
                  <c:v>5.11979014257975</c:v>
                </c:pt>
                <c:pt idx="1">
                  <c:v>5.023870876216</c:v>
                </c:pt>
                <c:pt idx="2">
                  <c:v>4.93425181538385</c:v>
                </c:pt>
                <c:pt idx="3">
                  <c:v>5.11087118517285</c:v>
                </c:pt>
                <c:pt idx="4">
                  <c:v>5.41322523028272</c:v>
                </c:pt>
                <c:pt idx="5">
                  <c:v>5.11166775345903</c:v>
                </c:pt>
                <c:pt idx="6">
                  <c:v>5.58791358539139</c:v>
                </c:pt>
                <c:pt idx="7">
                  <c:v>5.92396029675332</c:v>
                </c:pt>
                <c:pt idx="8">
                  <c:v>5.77687277203306</c:v>
                </c:pt>
                <c:pt idx="9">
                  <c:v>6.49749896506614</c:v>
                </c:pt>
                <c:pt idx="10">
                  <c:v>7.28693085783712</c:v>
                </c:pt>
                <c:pt idx="11">
                  <c:v>7.65695332018937</c:v>
                </c:pt>
                <c:pt idx="12">
                  <c:v>7.5146293655977</c:v>
                </c:pt>
                <c:pt idx="13">
                  <c:v>8.07967677143338</c:v>
                </c:pt>
                <c:pt idx="14">
                  <c:v>6.59739452412172</c:v>
                </c:pt>
                <c:pt idx="15">
                  <c:v>6.4328477880615</c:v>
                </c:pt>
              </c:numCache>
            </c:numRef>
          </c:yVal>
          <c:smooth val="0"/>
        </c:ser>
        <c:ser>
          <c:idx val="0"/>
          <c:order val="1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elete val="1"/>
          </c:dLbls>
          <c:errBars>
            <c:errDir val="y"/>
            <c:errBarType val="both"/>
            <c:errValType val="cust"/>
            <c:noEndCap val="0"/>
            <c:plus>
              <c:numRef>
                <c:f>Sheet2!$D$42:$D$61</c:f>
                <c:numCache>
                  <c:formatCode>General</c:formatCode>
                  <c:ptCount val="20"/>
                  <c:pt idx="0">
                    <c:v>0.21956797597622</c:v>
                  </c:pt>
                  <c:pt idx="1">
                    <c:v>0.0640729189764606</c:v>
                  </c:pt>
                  <c:pt idx="2">
                    <c:v>0.101168139741804</c:v>
                  </c:pt>
                  <c:pt idx="3">
                    <c:v>0.0541111614042327</c:v>
                  </c:pt>
                  <c:pt idx="4">
                    <c:v>0.0332319186173513</c:v>
                  </c:pt>
                  <c:pt idx="5">
                    <c:v>0.546100525283983</c:v>
                  </c:pt>
                  <c:pt idx="6">
                    <c:v>0.0360793817876545</c:v>
                  </c:pt>
                  <c:pt idx="7">
                    <c:v>0.188379665041502</c:v>
                  </c:pt>
                  <c:pt idx="8">
                    <c:v>0.0787135578482029</c:v>
                  </c:pt>
                  <c:pt idx="9">
                    <c:v>0.159271039956568</c:v>
                  </c:pt>
                  <c:pt idx="10">
                    <c:v>0.150506597051483</c:v>
                  </c:pt>
                  <c:pt idx="11">
                    <c:v>0.169934502644752</c:v>
                  </c:pt>
                  <c:pt idx="12">
                    <c:v>0.3834553318024</c:v>
                  </c:pt>
                  <c:pt idx="13">
                    <c:v>0.22279042271071</c:v>
                  </c:pt>
                  <c:pt idx="14">
                    <c:v>0.14043361386471</c:v>
                  </c:pt>
                  <c:pt idx="15">
                    <c:v>0.107001858153122</c:v>
                  </c:pt>
                  <c:pt idx="16">
                    <c:v>0.0381737594087564</c:v>
                  </c:pt>
                  <c:pt idx="17">
                    <c:v>0.0327448373676006</c:v>
                  </c:pt>
                  <c:pt idx="18">
                    <c:v>0.0638662348134665</c:v>
                  </c:pt>
                  <c:pt idx="19">
                    <c:v>0.0357816891192411</c:v>
                  </c:pt>
                </c:numCache>
              </c:numRef>
            </c:plus>
            <c:minus>
              <c:numRef>
                <c:f>Sheet2!$D$42:$D$61</c:f>
                <c:numCache>
                  <c:formatCode>General</c:formatCode>
                  <c:ptCount val="20"/>
                  <c:pt idx="0">
                    <c:v>0.21956797597622</c:v>
                  </c:pt>
                  <c:pt idx="1">
                    <c:v>0.0640729189764606</c:v>
                  </c:pt>
                  <c:pt idx="2">
                    <c:v>0.101168139741804</c:v>
                  </c:pt>
                  <c:pt idx="3">
                    <c:v>0.0541111614042327</c:v>
                  </c:pt>
                  <c:pt idx="4">
                    <c:v>0.0332319186173513</c:v>
                  </c:pt>
                  <c:pt idx="5">
                    <c:v>0.546100525283983</c:v>
                  </c:pt>
                  <c:pt idx="6">
                    <c:v>0.0360793817876545</c:v>
                  </c:pt>
                  <c:pt idx="7">
                    <c:v>0.188379665041502</c:v>
                  </c:pt>
                  <c:pt idx="8">
                    <c:v>0.0787135578482029</c:v>
                  </c:pt>
                  <c:pt idx="9">
                    <c:v>0.159271039956568</c:v>
                  </c:pt>
                  <c:pt idx="10">
                    <c:v>0.150506597051483</c:v>
                  </c:pt>
                  <c:pt idx="11">
                    <c:v>0.169934502644752</c:v>
                  </c:pt>
                  <c:pt idx="12">
                    <c:v>0.3834553318024</c:v>
                  </c:pt>
                  <c:pt idx="13">
                    <c:v>0.22279042271071</c:v>
                  </c:pt>
                  <c:pt idx="14">
                    <c:v>0.14043361386471</c:v>
                  </c:pt>
                  <c:pt idx="15">
                    <c:v>0.107001858153122</c:v>
                  </c:pt>
                  <c:pt idx="16">
                    <c:v>0.0381737594087564</c:v>
                  </c:pt>
                  <c:pt idx="17">
                    <c:v>0.0327448373676006</c:v>
                  </c:pt>
                  <c:pt idx="18">
                    <c:v>0.0638662348134665</c:v>
                  </c:pt>
                  <c:pt idx="19">
                    <c:v>0.0357816891192411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Sheet2!$B$42:$B$61</c:f>
              <c:numCache>
                <c:formatCode>General</c:formatCode>
                <c:ptCount val="20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</c:numCache>
            </c:numRef>
          </c:xVal>
          <c:yVal>
            <c:numRef>
              <c:f>Sheet2!$C$42:$C$57</c:f>
              <c:numCache>
                <c:formatCode>General</c:formatCode>
                <c:ptCount val="16"/>
                <c:pt idx="0">
                  <c:v>4.15013891421446</c:v>
                </c:pt>
                <c:pt idx="1">
                  <c:v>4.13825795253111</c:v>
                </c:pt>
                <c:pt idx="2">
                  <c:v>4.04136866078817</c:v>
                </c:pt>
                <c:pt idx="3">
                  <c:v>4.13684320740347</c:v>
                </c:pt>
                <c:pt idx="4">
                  <c:v>4.02499548492273</c:v>
                </c:pt>
                <c:pt idx="5">
                  <c:v>4.45938266274427</c:v>
                </c:pt>
                <c:pt idx="6">
                  <c:v>4.17332801562883</c:v>
                </c:pt>
                <c:pt idx="7">
                  <c:v>4.22492708687181</c:v>
                </c:pt>
                <c:pt idx="8">
                  <c:v>4.2821274190903</c:v>
                </c:pt>
                <c:pt idx="9">
                  <c:v>4.51462160539644</c:v>
                </c:pt>
                <c:pt idx="10">
                  <c:v>4.67205164638335</c:v>
                </c:pt>
                <c:pt idx="11">
                  <c:v>4.37239497207361</c:v>
                </c:pt>
                <c:pt idx="12">
                  <c:v>4.51681185377533</c:v>
                </c:pt>
                <c:pt idx="13">
                  <c:v>3.93512191092464</c:v>
                </c:pt>
                <c:pt idx="14">
                  <c:v>3.53220541759418</c:v>
                </c:pt>
                <c:pt idx="15">
                  <c:v>3.01615240615314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70359232"/>
        <c:axId val="270359792"/>
      </c:scatterChart>
      <c:valAx>
        <c:axId val="27035923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lang="zh-CN"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ja-JP"/>
                  <a:t>Time(min)</a:t>
                </a:r>
                <a:endParaRPr lang="ja-JP" altLang="en-US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270359792"/>
        <c:crosses val="autoZero"/>
        <c:crossBetween val="midCat"/>
        <c:majorUnit val="10"/>
      </c:valAx>
      <c:valAx>
        <c:axId val="270359792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lang="zh-CN"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ja-JP"/>
                  <a:t>GABA(mg/100g)</a:t>
                </a:r>
                <a:endParaRPr lang="ja-JP" altLang="en-US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27035923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  <c:extLst>
      <c:ext uri="{0b15fc19-7d7d-44ad-8c2d-2c3a37ce22c3}">
        <chartProps xmlns="https://web.wps.cn/et/2018/main" chartId="{9af7a8ab-4b4a-4308-b3f8-4f53516056b1}"/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zh-CN"/>
      </a:pPr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elete val="1"/>
          </c:dLbls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225518191441539"/>
                  <c:y val="0.0754716981132075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lang="zh-CN"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</a:p>
              </c:txPr>
            </c:trendlineLbl>
          </c:trendline>
          <c:xVal>
            <c:numRef>
              <c:f>'BLK23'!$B$1:$B$3</c:f>
              <c:numCache>
                <c:formatCode>General</c:formatCode>
                <c:ptCount val="3"/>
                <c:pt idx="0">
                  <c:v>10</c:v>
                </c:pt>
                <c:pt idx="1">
                  <c:v>50</c:v>
                </c:pt>
                <c:pt idx="2">
                  <c:v>100</c:v>
                </c:pt>
              </c:numCache>
            </c:numRef>
          </c:xVal>
          <c:yVal>
            <c:numRef>
              <c:f>'BLK23'!$C$1:$C$3</c:f>
              <c:numCache>
                <c:formatCode>General</c:formatCode>
                <c:ptCount val="3"/>
                <c:pt idx="0">
                  <c:v>253760</c:v>
                </c:pt>
                <c:pt idx="1">
                  <c:v>2580239</c:v>
                </c:pt>
                <c:pt idx="2">
                  <c:v>4582633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68654432"/>
        <c:axId val="268654992"/>
      </c:scatterChart>
      <c:valAx>
        <c:axId val="26865443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268654992"/>
        <c:crosses val="autoZero"/>
        <c:crossBetween val="midCat"/>
      </c:valAx>
      <c:valAx>
        <c:axId val="2686549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26865443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  <c:extLst>
      <c:ext uri="{0b15fc19-7d7d-44ad-8c2d-2c3a37ce22c3}">
        <chartProps xmlns="https://web.wps.cn/et/2018/main" chartId="{55a12181-d31a-4247-ba3a-965c8165bff7}"/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zh-CN"/>
      </a:pPr>
    </a:p>
  </c:tx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marker"/>
        <c:varyColors val="0"/>
        <c:ser>
          <c:idx val="0"/>
          <c:order val="0"/>
          <c:tx>
            <c:strRef>
              <c:f>"Glu"</c:f>
              <c:strCache>
                <c:ptCount val="1"/>
                <c:pt idx="0">
                  <c:v>Glu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6"/>
            <c:spPr>
              <a:solidFill>
                <a:srgbClr val="C00000"/>
              </a:solidFill>
              <a:ln w="9525">
                <a:solidFill>
                  <a:srgbClr val="C00000"/>
                </a:solidFill>
              </a:ln>
              <a:effectLst/>
            </c:spPr>
          </c:marker>
          <c:dLbls>
            <c:delete val="1"/>
          </c:dLbls>
          <c:errBars>
            <c:errDir val="y"/>
            <c:errBarType val="both"/>
            <c:errValType val="cust"/>
            <c:noEndCap val="0"/>
            <c:plus>
              <c:numRef>
                <c:f>Sheet2!$D$4:$D$16</c:f>
                <c:numCache>
                  <c:formatCode>General</c:formatCode>
                  <c:ptCount val="13"/>
                  <c:pt idx="0">
                    <c:v>0.114790878545589</c:v>
                  </c:pt>
                  <c:pt idx="1">
                    <c:v>0.252236294974785</c:v>
                  </c:pt>
                  <c:pt idx="2">
                    <c:v>0.175875191231682</c:v>
                  </c:pt>
                  <c:pt idx="3">
                    <c:v>0.626038088481913</c:v>
                  </c:pt>
                  <c:pt idx="4">
                    <c:v>2.42251432921659</c:v>
                  </c:pt>
                  <c:pt idx="5">
                    <c:v>0.413255038599483</c:v>
                  </c:pt>
                  <c:pt idx="6">
                    <c:v>1.07519932542047</c:v>
                  </c:pt>
                  <c:pt idx="7">
                    <c:v>1.04275549548542</c:v>
                  </c:pt>
                  <c:pt idx="8">
                    <c:v>0.879633787085974</c:v>
                  </c:pt>
                  <c:pt idx="9">
                    <c:v>1.84735808107854</c:v>
                  </c:pt>
                  <c:pt idx="10">
                    <c:v>0.488762437918142</c:v>
                  </c:pt>
                  <c:pt idx="11">
                    <c:v>0.23517771212844</c:v>
                  </c:pt>
                  <c:pt idx="12">
                    <c:v>0.821323422658626</c:v>
                  </c:pt>
                </c:numCache>
              </c:numRef>
            </c:plus>
            <c:minus>
              <c:numRef>
                <c:f>Sheet2!$D$4:$D$16</c:f>
                <c:numCache>
                  <c:formatCode>General</c:formatCode>
                  <c:ptCount val="13"/>
                  <c:pt idx="0">
                    <c:v>0.114790878545589</c:v>
                  </c:pt>
                  <c:pt idx="1">
                    <c:v>0.252236294974785</c:v>
                  </c:pt>
                  <c:pt idx="2">
                    <c:v>0.175875191231682</c:v>
                  </c:pt>
                  <c:pt idx="3">
                    <c:v>0.626038088481913</c:v>
                  </c:pt>
                  <c:pt idx="4">
                    <c:v>2.42251432921659</c:v>
                  </c:pt>
                  <c:pt idx="5">
                    <c:v>0.413255038599483</c:v>
                  </c:pt>
                  <c:pt idx="6">
                    <c:v>1.07519932542047</c:v>
                  </c:pt>
                  <c:pt idx="7">
                    <c:v>1.04275549548542</c:v>
                  </c:pt>
                  <c:pt idx="8">
                    <c:v>0.879633787085974</c:v>
                  </c:pt>
                  <c:pt idx="9">
                    <c:v>1.84735808107854</c:v>
                  </c:pt>
                  <c:pt idx="10">
                    <c:v>0.488762437918142</c:v>
                  </c:pt>
                  <c:pt idx="11">
                    <c:v>0.23517771212844</c:v>
                  </c:pt>
                  <c:pt idx="12">
                    <c:v>0.821323422658626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Sheet2!$B$4:$B$16</c:f>
              <c:numCache>
                <c:formatCode>General</c:formatCode>
                <c:ptCount val="13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60</c:v>
                </c:pt>
                <c:pt idx="11">
                  <c:v>70</c:v>
                </c:pt>
                <c:pt idx="12">
                  <c:v>80</c:v>
                </c:pt>
              </c:numCache>
            </c:numRef>
          </c:xVal>
          <c:yVal>
            <c:numRef>
              <c:f>Sheet2!$C$4:$C$16</c:f>
              <c:numCache>
                <c:formatCode>General</c:formatCode>
                <c:ptCount val="13"/>
                <c:pt idx="0">
                  <c:v>4.74415843264093</c:v>
                </c:pt>
                <c:pt idx="1">
                  <c:v>4.92282788258976</c:v>
                </c:pt>
                <c:pt idx="2">
                  <c:v>4.9573207673391</c:v>
                </c:pt>
                <c:pt idx="3">
                  <c:v>31.6435851749908</c:v>
                </c:pt>
                <c:pt idx="4">
                  <c:v>33.5265241121324</c:v>
                </c:pt>
                <c:pt idx="5">
                  <c:v>33.9462435540554</c:v>
                </c:pt>
                <c:pt idx="6">
                  <c:v>37.1317754483676</c:v>
                </c:pt>
                <c:pt idx="7">
                  <c:v>41.4003799818172</c:v>
                </c:pt>
                <c:pt idx="8">
                  <c:v>42.4057953463909</c:v>
                </c:pt>
                <c:pt idx="9">
                  <c:v>38.8752514067154</c:v>
                </c:pt>
                <c:pt idx="10">
                  <c:v>38.7543441519203</c:v>
                </c:pt>
                <c:pt idx="11">
                  <c:v>37.1618769520352</c:v>
                </c:pt>
                <c:pt idx="12">
                  <c:v>36.0409426613772</c:v>
                </c:pt>
              </c:numCache>
            </c:numRef>
          </c:yVal>
          <c:smooth val="0"/>
        </c:ser>
        <c:ser>
          <c:idx val="2"/>
          <c:order val="1"/>
          <c:tx>
            <c:strRef>
              <c:f>"BLK"</c:f>
              <c:strCache>
                <c:ptCount val="1"/>
                <c:pt idx="0">
                  <c:v>BLK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6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dLbls>
            <c:delete val="1"/>
          </c:dLbls>
          <c:errBars>
            <c:errDir val="y"/>
            <c:errBarType val="both"/>
            <c:errValType val="cust"/>
            <c:noEndCap val="0"/>
            <c:plus>
              <c:numRef>
                <c:f>Sheet2!$D$42:$D$57</c:f>
                <c:numCache>
                  <c:formatCode>General</c:formatCode>
                  <c:ptCount val="16"/>
                  <c:pt idx="0">
                    <c:v>0.21956797597622</c:v>
                  </c:pt>
                  <c:pt idx="1">
                    <c:v>0.0640729189764606</c:v>
                  </c:pt>
                  <c:pt idx="2">
                    <c:v>0.101168139741804</c:v>
                  </c:pt>
                  <c:pt idx="3">
                    <c:v>0.0541111614042327</c:v>
                  </c:pt>
                  <c:pt idx="4">
                    <c:v>0.0332319186173513</c:v>
                  </c:pt>
                  <c:pt idx="5">
                    <c:v>0.546100525283983</c:v>
                  </c:pt>
                  <c:pt idx="6">
                    <c:v>0.0360793817876545</c:v>
                  </c:pt>
                  <c:pt idx="7">
                    <c:v>0.188379665041502</c:v>
                  </c:pt>
                  <c:pt idx="8">
                    <c:v>0.0787135578482029</c:v>
                  </c:pt>
                  <c:pt idx="9">
                    <c:v>0.159271039956568</c:v>
                  </c:pt>
                  <c:pt idx="10">
                    <c:v>0.150506597051483</c:v>
                  </c:pt>
                  <c:pt idx="11">
                    <c:v>0.169934502644752</c:v>
                  </c:pt>
                  <c:pt idx="12">
                    <c:v>0.3834553318024</c:v>
                  </c:pt>
                  <c:pt idx="13">
                    <c:v>0.22279042271071</c:v>
                  </c:pt>
                  <c:pt idx="14">
                    <c:v>0.14043361386471</c:v>
                  </c:pt>
                  <c:pt idx="15">
                    <c:v>0.107001858153122</c:v>
                  </c:pt>
                </c:numCache>
              </c:numRef>
            </c:plus>
            <c:minus>
              <c:numRef>
                <c:f>Sheet2!$D$42:$D$57</c:f>
                <c:numCache>
                  <c:formatCode>General</c:formatCode>
                  <c:ptCount val="16"/>
                  <c:pt idx="0">
                    <c:v>0.21956797597622</c:v>
                  </c:pt>
                  <c:pt idx="1">
                    <c:v>0.0640729189764606</c:v>
                  </c:pt>
                  <c:pt idx="2">
                    <c:v>0.101168139741804</c:v>
                  </c:pt>
                  <c:pt idx="3">
                    <c:v>0.0541111614042327</c:v>
                  </c:pt>
                  <c:pt idx="4">
                    <c:v>0.0332319186173513</c:v>
                  </c:pt>
                  <c:pt idx="5">
                    <c:v>0.546100525283983</c:v>
                  </c:pt>
                  <c:pt idx="6">
                    <c:v>0.0360793817876545</c:v>
                  </c:pt>
                  <c:pt idx="7">
                    <c:v>0.188379665041502</c:v>
                  </c:pt>
                  <c:pt idx="8">
                    <c:v>0.0787135578482029</c:v>
                  </c:pt>
                  <c:pt idx="9">
                    <c:v>0.159271039956568</c:v>
                  </c:pt>
                  <c:pt idx="10">
                    <c:v>0.150506597051483</c:v>
                  </c:pt>
                  <c:pt idx="11">
                    <c:v>0.169934502644752</c:v>
                  </c:pt>
                  <c:pt idx="12">
                    <c:v>0.3834553318024</c:v>
                  </c:pt>
                  <c:pt idx="13">
                    <c:v>0.22279042271071</c:v>
                  </c:pt>
                  <c:pt idx="14">
                    <c:v>0.14043361386471</c:v>
                  </c:pt>
                  <c:pt idx="15">
                    <c:v>0.107001858153122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Sheet2!$B$42:$B$61</c:f>
              <c:numCache>
                <c:formatCode>General</c:formatCode>
                <c:ptCount val="20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</c:numCache>
            </c:numRef>
          </c:xVal>
          <c:yVal>
            <c:numRef>
              <c:f>Sheet2!$C$42:$C$57</c:f>
              <c:numCache>
                <c:formatCode>General</c:formatCode>
                <c:ptCount val="16"/>
                <c:pt idx="0">
                  <c:v>4.15013891421446</c:v>
                </c:pt>
                <c:pt idx="1">
                  <c:v>4.13825795253111</c:v>
                </c:pt>
                <c:pt idx="2">
                  <c:v>4.04136866078817</c:v>
                </c:pt>
                <c:pt idx="3">
                  <c:v>4.13684320740347</c:v>
                </c:pt>
                <c:pt idx="4">
                  <c:v>4.02499548492273</c:v>
                </c:pt>
                <c:pt idx="5">
                  <c:v>4.45938266274427</c:v>
                </c:pt>
                <c:pt idx="6">
                  <c:v>4.17332801562883</c:v>
                </c:pt>
                <c:pt idx="7">
                  <c:v>4.22492708687181</c:v>
                </c:pt>
                <c:pt idx="8">
                  <c:v>4.2821274190903</c:v>
                </c:pt>
                <c:pt idx="9">
                  <c:v>4.51462160539644</c:v>
                </c:pt>
                <c:pt idx="10">
                  <c:v>4.67205164638335</c:v>
                </c:pt>
                <c:pt idx="11">
                  <c:v>4.37239497207361</c:v>
                </c:pt>
                <c:pt idx="12">
                  <c:v>4.51681185377533</c:v>
                </c:pt>
                <c:pt idx="13">
                  <c:v>3.93512191092464</c:v>
                </c:pt>
                <c:pt idx="14">
                  <c:v>3.53220541759418</c:v>
                </c:pt>
                <c:pt idx="15">
                  <c:v>3.01615240615314</c:v>
                </c:pt>
              </c:numCache>
            </c:numRef>
          </c:yVal>
          <c:smooth val="0"/>
        </c:ser>
        <c:ser>
          <c:idx val="1"/>
          <c:order val="3"/>
          <c:tx>
            <c:strRef>
              <c:f>"NH4Cl"</c:f>
              <c:strCache>
                <c:ptCount val="1"/>
                <c:pt idx="0">
                  <c:v>NH4Cl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6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dLbls>
            <c:delete val="1"/>
          </c:dLbls>
          <c:errBars>
            <c:errDir val="y"/>
            <c:errBarType val="both"/>
            <c:errValType val="cust"/>
            <c:noEndCap val="0"/>
            <c:plus>
              <c:numRef>
                <c:f>Sheet2!$D$66:$D$81</c:f>
                <c:numCache>
                  <c:formatCode>General</c:formatCode>
                  <c:ptCount val="16"/>
                  <c:pt idx="0">
                    <c:v>0.0721878040217749</c:v>
                  </c:pt>
                  <c:pt idx="1">
                    <c:v>0.0721975558043977</c:v>
                  </c:pt>
                  <c:pt idx="2">
                    <c:v>0.0998282736377732</c:v>
                  </c:pt>
                  <c:pt idx="3">
                    <c:v>0.163024821665531</c:v>
                  </c:pt>
                  <c:pt idx="4">
                    <c:v>0.378345372580047</c:v>
                  </c:pt>
                  <c:pt idx="5">
                    <c:v>0.100336909945842</c:v>
                  </c:pt>
                  <c:pt idx="6">
                    <c:v>0.555972319505067</c:v>
                  </c:pt>
                  <c:pt idx="7">
                    <c:v>0.457789436662617</c:v>
                  </c:pt>
                  <c:pt idx="8">
                    <c:v>0.183043535358664</c:v>
                  </c:pt>
                  <c:pt idx="9">
                    <c:v>0.573188746085538</c:v>
                  </c:pt>
                  <c:pt idx="10">
                    <c:v>0.396857459402314</c:v>
                  </c:pt>
                  <c:pt idx="11">
                    <c:v>0.286239817954431</c:v>
                  </c:pt>
                  <c:pt idx="12">
                    <c:v>0.350663506594123</c:v>
                  </c:pt>
                  <c:pt idx="13">
                    <c:v>0.743291180939373</c:v>
                  </c:pt>
                  <c:pt idx="14">
                    <c:v>0.174302379578875</c:v>
                  </c:pt>
                  <c:pt idx="15">
                    <c:v>0.445638230391219</c:v>
                  </c:pt>
                </c:numCache>
              </c:numRef>
            </c:plus>
            <c:minus>
              <c:numRef>
                <c:f>Sheet2!$D$66:$D$81</c:f>
                <c:numCache>
                  <c:formatCode>General</c:formatCode>
                  <c:ptCount val="16"/>
                  <c:pt idx="0">
                    <c:v>0.0721878040217749</c:v>
                  </c:pt>
                  <c:pt idx="1">
                    <c:v>0.0721975558043977</c:v>
                  </c:pt>
                  <c:pt idx="2">
                    <c:v>0.0998282736377732</c:v>
                  </c:pt>
                  <c:pt idx="3">
                    <c:v>0.163024821665531</c:v>
                  </c:pt>
                  <c:pt idx="4">
                    <c:v>0.378345372580047</c:v>
                  </c:pt>
                  <c:pt idx="5">
                    <c:v>0.100336909945842</c:v>
                  </c:pt>
                  <c:pt idx="6">
                    <c:v>0.555972319505067</c:v>
                  </c:pt>
                  <c:pt idx="7">
                    <c:v>0.457789436662617</c:v>
                  </c:pt>
                  <c:pt idx="8">
                    <c:v>0.183043535358664</c:v>
                  </c:pt>
                  <c:pt idx="9">
                    <c:v>0.573188746085538</c:v>
                  </c:pt>
                  <c:pt idx="10">
                    <c:v>0.396857459402314</c:v>
                  </c:pt>
                  <c:pt idx="11">
                    <c:v>0.286239817954431</c:v>
                  </c:pt>
                  <c:pt idx="12">
                    <c:v>0.350663506594123</c:v>
                  </c:pt>
                  <c:pt idx="13">
                    <c:v>0.743291180939373</c:v>
                  </c:pt>
                  <c:pt idx="14">
                    <c:v>0.174302379578875</c:v>
                  </c:pt>
                  <c:pt idx="15">
                    <c:v>0.445638230391219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Sheet2!$B$66:$B$81</c:f>
              <c:numCache>
                <c:formatCode>General</c:formatCode>
                <c:ptCount val="16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</c:numCache>
            </c:numRef>
          </c:xVal>
          <c:yVal>
            <c:numRef>
              <c:f>Sheet2!$C$66:$C$81</c:f>
              <c:numCache>
                <c:formatCode>General</c:formatCode>
                <c:ptCount val="16"/>
                <c:pt idx="0">
                  <c:v>5.11979014257975</c:v>
                </c:pt>
                <c:pt idx="1">
                  <c:v>5.023870876216</c:v>
                </c:pt>
                <c:pt idx="2">
                  <c:v>4.93425181538385</c:v>
                </c:pt>
                <c:pt idx="3">
                  <c:v>5.11087118517285</c:v>
                </c:pt>
                <c:pt idx="4">
                  <c:v>5.41322523028272</c:v>
                </c:pt>
                <c:pt idx="5">
                  <c:v>5.11166775345903</c:v>
                </c:pt>
                <c:pt idx="6">
                  <c:v>5.58791358539139</c:v>
                </c:pt>
                <c:pt idx="7">
                  <c:v>5.92396029675332</c:v>
                </c:pt>
                <c:pt idx="8">
                  <c:v>5.77687277203306</c:v>
                </c:pt>
                <c:pt idx="9">
                  <c:v>6.49749896506614</c:v>
                </c:pt>
                <c:pt idx="10">
                  <c:v>7.28693085783712</c:v>
                </c:pt>
                <c:pt idx="11">
                  <c:v>7.65695332018937</c:v>
                </c:pt>
                <c:pt idx="12">
                  <c:v>7.5146293655977</c:v>
                </c:pt>
                <c:pt idx="13">
                  <c:v>8.07967677143338</c:v>
                </c:pt>
                <c:pt idx="14">
                  <c:v>6.59739452412172</c:v>
                </c:pt>
                <c:pt idx="15">
                  <c:v>6.4328477880615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70364272"/>
        <c:axId val="270364832"/>
      </c:scatterChart>
      <c:scatterChart>
        <c:scatterStyle val="line"/>
        <c:varyColors val="0"/>
        <c:ser>
          <c:idx val="3"/>
          <c:order val="2"/>
          <c:tx>
            <c:strRef>
              <c:f>"Temp."</c:f>
              <c:strCache>
                <c:ptCount val="1"/>
                <c:pt idx="0">
                  <c:v>Temp.</c:v>
                </c:pt>
              </c:strCache>
            </c:strRef>
          </c:tx>
          <c:spPr>
            <a:ln w="25400" cap="rnd">
              <a:solidFill>
                <a:sysClr val="windowText" lastClr="000000"/>
              </a:solidFill>
              <a:prstDash val="sysDot"/>
              <a:round/>
            </a:ln>
            <a:effectLst/>
          </c:spPr>
          <c:marker>
            <c:symbol val="none"/>
          </c:marker>
          <c:dLbls>
            <c:delete val="1"/>
          </c:dLbls>
          <c:xVal>
            <c:numRef>
              <c:f>Sheet2!$B$4:$B$16</c:f>
              <c:numCache>
                <c:formatCode>General</c:formatCode>
                <c:ptCount val="13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60</c:v>
                </c:pt>
                <c:pt idx="11">
                  <c:v>70</c:v>
                </c:pt>
                <c:pt idx="12">
                  <c:v>80</c:v>
                </c:pt>
              </c:numCache>
            </c:numRef>
          </c:xVal>
          <c:yVal>
            <c:numRef>
              <c:f>Sheet2!$G$4:$G$16</c:f>
              <c:numCache>
                <c:formatCode>General</c:formatCode>
                <c:ptCount val="13"/>
                <c:pt idx="0">
                  <c:v>26</c:v>
                </c:pt>
                <c:pt idx="1">
                  <c:v>28</c:v>
                </c:pt>
                <c:pt idx="2">
                  <c:v>29</c:v>
                </c:pt>
                <c:pt idx="3">
                  <c:v>33</c:v>
                </c:pt>
                <c:pt idx="4">
                  <c:v>36</c:v>
                </c:pt>
                <c:pt idx="5">
                  <c:v>38</c:v>
                </c:pt>
                <c:pt idx="6">
                  <c:v>41</c:v>
                </c:pt>
                <c:pt idx="7">
                  <c:v>43</c:v>
                </c:pt>
                <c:pt idx="8">
                  <c:v>42</c:v>
                </c:pt>
                <c:pt idx="9">
                  <c:v>42</c:v>
                </c:pt>
                <c:pt idx="10">
                  <c:v>40</c:v>
                </c:pt>
                <c:pt idx="11">
                  <c:v>40</c:v>
                </c:pt>
                <c:pt idx="12">
                  <c:v>55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70619264"/>
        <c:axId val="270618704"/>
      </c:scatterChart>
      <c:valAx>
        <c:axId val="270364272"/>
        <c:scaling>
          <c:orientation val="minMax"/>
          <c:max val="7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lang="zh-CN"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ja-JP"/>
                  <a:t>Time(min)</a:t>
                </a:r>
                <a:endParaRPr lang="ja-JP" altLang="en-US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270364832"/>
        <c:crosses val="autoZero"/>
        <c:crossBetween val="midCat"/>
        <c:majorUnit val="10"/>
      </c:valAx>
      <c:valAx>
        <c:axId val="270364832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lang="zh-CN"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ja-JP"/>
                  <a:t>GABA(mg/100g)</a:t>
                </a:r>
                <a:endParaRPr lang="ja-JP" altLang="en-US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270364272"/>
        <c:crosses val="autoZero"/>
        <c:crossBetween val="midCat"/>
        <c:majorUnit val="10"/>
      </c:valAx>
      <c:valAx>
        <c:axId val="27061926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270618704"/>
        <c:crosses val="autoZero"/>
        <c:crossBetween val="midCat"/>
      </c:valAx>
      <c:valAx>
        <c:axId val="270618704"/>
        <c:scaling>
          <c:orientation val="minMax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lang="zh-CN"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ja-JP"/>
                  <a:t>Temperature</a:t>
                </a:r>
                <a:r>
                  <a:rPr lang="en-US" altLang="ja-JP" baseline="0"/>
                  <a:t> (</a:t>
                </a:r>
                <a:r>
                  <a:rPr lang="ja-JP" altLang="en-US" baseline="0"/>
                  <a:t>℃</a:t>
                </a:r>
                <a:r>
                  <a:rPr lang="en-US" altLang="ja-JP" baseline="0"/>
                  <a:t>)</a:t>
                </a:r>
                <a:endParaRPr lang="ja-JP" altLang="en-US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270619264"/>
        <c:crosses val="max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zh-CN"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</a:p>
      </c:txPr>
    </c:legend>
    <c:plotVisOnly val="1"/>
    <c:dispBlanksAs val="gap"/>
    <c:showDLblsOverMax val="0"/>
    <c:extLst>
      <c:ext uri="{0b15fc19-7d7d-44ad-8c2d-2c3a37ce22c3}">
        <chartProps xmlns="https://web.wps.cn/et/2018/main" chartId="{c85f9337-478d-4fcc-81e8-7aa3b8ad5d6b}"/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zh-CN"/>
      </a:pPr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5483814523185"/>
          <c:y val="0.0509259259259259"/>
          <c:w val="0.745396866628785"/>
          <c:h val="0.679605544514603"/>
        </c:manualLayout>
      </c:layout>
      <c:scatterChart>
        <c:scatterStyle val="marker"/>
        <c:varyColors val="0"/>
        <c:ser>
          <c:idx val="1"/>
          <c:order val="0"/>
          <c:tx>
            <c:strRef>
              <c:f>"NH4Cl"</c:f>
              <c:strCache>
                <c:ptCount val="1"/>
                <c:pt idx="0">
                  <c:v>NH4Cl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noFill/>
              </a:ln>
              <a:effectLst/>
            </c:spPr>
          </c:marker>
          <c:dLbls>
            <c:delete val="1"/>
          </c:dLbls>
          <c:errBars>
            <c:errDir val="y"/>
            <c:errBarType val="both"/>
            <c:errValType val="cust"/>
            <c:noEndCap val="0"/>
            <c:plus>
              <c:numRef>
                <c:f>Sheet2!$D$66:$D$81</c:f>
                <c:numCache>
                  <c:formatCode>General</c:formatCode>
                  <c:ptCount val="16"/>
                  <c:pt idx="0">
                    <c:v>0.0721878040217749</c:v>
                  </c:pt>
                  <c:pt idx="1">
                    <c:v>0.0721975558043977</c:v>
                  </c:pt>
                  <c:pt idx="2">
                    <c:v>0.0998282736377732</c:v>
                  </c:pt>
                  <c:pt idx="3">
                    <c:v>0.163024821665531</c:v>
                  </c:pt>
                  <c:pt idx="4">
                    <c:v>0.378345372580047</c:v>
                  </c:pt>
                  <c:pt idx="5">
                    <c:v>0.100336909945842</c:v>
                  </c:pt>
                  <c:pt idx="6">
                    <c:v>0.555972319505067</c:v>
                  </c:pt>
                  <c:pt idx="7">
                    <c:v>0.457789436662617</c:v>
                  </c:pt>
                  <c:pt idx="8">
                    <c:v>0.183043535358664</c:v>
                  </c:pt>
                  <c:pt idx="9">
                    <c:v>0.573188746085538</c:v>
                  </c:pt>
                  <c:pt idx="10">
                    <c:v>0.396857459402314</c:v>
                  </c:pt>
                  <c:pt idx="11">
                    <c:v>0.286239817954431</c:v>
                  </c:pt>
                  <c:pt idx="12">
                    <c:v>0.350663506594123</c:v>
                  </c:pt>
                  <c:pt idx="13">
                    <c:v>0.743291180939373</c:v>
                  </c:pt>
                  <c:pt idx="14">
                    <c:v>0.174302379578875</c:v>
                  </c:pt>
                  <c:pt idx="15">
                    <c:v>0.445638230391219</c:v>
                  </c:pt>
                </c:numCache>
              </c:numRef>
            </c:plus>
            <c:minus>
              <c:numRef>
                <c:f>Sheet2!$D$66:$D$81</c:f>
                <c:numCache>
                  <c:formatCode>General</c:formatCode>
                  <c:ptCount val="16"/>
                  <c:pt idx="0">
                    <c:v>0.0721878040217749</c:v>
                  </c:pt>
                  <c:pt idx="1">
                    <c:v>0.0721975558043977</c:v>
                  </c:pt>
                  <c:pt idx="2">
                    <c:v>0.0998282736377732</c:v>
                  </c:pt>
                  <c:pt idx="3">
                    <c:v>0.163024821665531</c:v>
                  </c:pt>
                  <c:pt idx="4">
                    <c:v>0.378345372580047</c:v>
                  </c:pt>
                  <c:pt idx="5">
                    <c:v>0.100336909945842</c:v>
                  </c:pt>
                  <c:pt idx="6">
                    <c:v>0.555972319505067</c:v>
                  </c:pt>
                  <c:pt idx="7">
                    <c:v>0.457789436662617</c:v>
                  </c:pt>
                  <c:pt idx="8">
                    <c:v>0.183043535358664</c:v>
                  </c:pt>
                  <c:pt idx="9">
                    <c:v>0.573188746085538</c:v>
                  </c:pt>
                  <c:pt idx="10">
                    <c:v>0.396857459402314</c:v>
                  </c:pt>
                  <c:pt idx="11">
                    <c:v>0.286239817954431</c:v>
                  </c:pt>
                  <c:pt idx="12">
                    <c:v>0.350663506594123</c:v>
                  </c:pt>
                  <c:pt idx="13">
                    <c:v>0.743291180939373</c:v>
                  </c:pt>
                  <c:pt idx="14">
                    <c:v>0.174302379578875</c:v>
                  </c:pt>
                  <c:pt idx="15">
                    <c:v>0.445638230391219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Sheet2!$B$66:$B$81</c:f>
              <c:numCache>
                <c:formatCode>General</c:formatCode>
                <c:ptCount val="16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</c:numCache>
            </c:numRef>
          </c:xVal>
          <c:yVal>
            <c:numRef>
              <c:f>Sheet2!$C$66:$C$81</c:f>
              <c:numCache>
                <c:formatCode>General</c:formatCode>
                <c:ptCount val="16"/>
                <c:pt idx="0">
                  <c:v>5.11979014257975</c:v>
                </c:pt>
                <c:pt idx="1">
                  <c:v>5.023870876216</c:v>
                </c:pt>
                <c:pt idx="2">
                  <c:v>4.93425181538385</c:v>
                </c:pt>
                <c:pt idx="3">
                  <c:v>5.11087118517285</c:v>
                </c:pt>
                <c:pt idx="4">
                  <c:v>5.41322523028272</c:v>
                </c:pt>
                <c:pt idx="5">
                  <c:v>5.11166775345903</c:v>
                </c:pt>
                <c:pt idx="6">
                  <c:v>5.58791358539139</c:v>
                </c:pt>
                <c:pt idx="7">
                  <c:v>5.92396029675332</c:v>
                </c:pt>
                <c:pt idx="8">
                  <c:v>5.77687277203306</c:v>
                </c:pt>
                <c:pt idx="9">
                  <c:v>6.49749896506614</c:v>
                </c:pt>
                <c:pt idx="10">
                  <c:v>7.28693085783712</c:v>
                </c:pt>
                <c:pt idx="11">
                  <c:v>7.65695332018937</c:v>
                </c:pt>
                <c:pt idx="12">
                  <c:v>7.5146293655977</c:v>
                </c:pt>
                <c:pt idx="13">
                  <c:v>8.07967677143338</c:v>
                </c:pt>
                <c:pt idx="14">
                  <c:v>6.59739452412172</c:v>
                </c:pt>
                <c:pt idx="15">
                  <c:v>6.4328477880615</c:v>
                </c:pt>
              </c:numCache>
            </c:numRef>
          </c:yVal>
          <c:smooth val="0"/>
        </c:ser>
        <c:ser>
          <c:idx val="2"/>
          <c:order val="1"/>
          <c:tx>
            <c:strRef>
              <c:f>"BLK"</c:f>
              <c:strCache>
                <c:ptCount val="1"/>
                <c:pt idx="0">
                  <c:v>BLK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dLbls>
            <c:delete val="1"/>
          </c:dLbls>
          <c:errBars>
            <c:errDir val="y"/>
            <c:errBarType val="both"/>
            <c:errValType val="cust"/>
            <c:noEndCap val="0"/>
            <c:plus>
              <c:numRef>
                <c:f>Sheet2!$D$42:$D$61</c:f>
                <c:numCache>
                  <c:formatCode>General</c:formatCode>
                  <c:ptCount val="20"/>
                  <c:pt idx="0">
                    <c:v>0.21956797597622</c:v>
                  </c:pt>
                  <c:pt idx="1">
                    <c:v>0.0640729189764606</c:v>
                  </c:pt>
                  <c:pt idx="2">
                    <c:v>0.101168139741804</c:v>
                  </c:pt>
                  <c:pt idx="3">
                    <c:v>0.0541111614042327</c:v>
                  </c:pt>
                  <c:pt idx="4">
                    <c:v>0.0332319186173513</c:v>
                  </c:pt>
                  <c:pt idx="5">
                    <c:v>0.546100525283983</c:v>
                  </c:pt>
                  <c:pt idx="6">
                    <c:v>0.0360793817876545</c:v>
                  </c:pt>
                  <c:pt idx="7">
                    <c:v>0.188379665041502</c:v>
                  </c:pt>
                  <c:pt idx="8">
                    <c:v>0.0787135578482029</c:v>
                  </c:pt>
                  <c:pt idx="9">
                    <c:v>0.159271039956568</c:v>
                  </c:pt>
                  <c:pt idx="10">
                    <c:v>0.150506597051483</c:v>
                  </c:pt>
                  <c:pt idx="11">
                    <c:v>0.169934502644752</c:v>
                  </c:pt>
                  <c:pt idx="12">
                    <c:v>0.3834553318024</c:v>
                  </c:pt>
                  <c:pt idx="13">
                    <c:v>0.22279042271071</c:v>
                  </c:pt>
                  <c:pt idx="14">
                    <c:v>0.14043361386471</c:v>
                  </c:pt>
                  <c:pt idx="15">
                    <c:v>0.107001858153122</c:v>
                  </c:pt>
                  <c:pt idx="16">
                    <c:v>0.0381737594087564</c:v>
                  </c:pt>
                  <c:pt idx="17">
                    <c:v>0.0327448373676006</c:v>
                  </c:pt>
                  <c:pt idx="18">
                    <c:v>0.0638662348134665</c:v>
                  </c:pt>
                  <c:pt idx="19">
                    <c:v>0.0357816891192411</c:v>
                  </c:pt>
                </c:numCache>
              </c:numRef>
            </c:plus>
            <c:minus>
              <c:numRef>
                <c:f>Sheet2!$D$42:$D$61</c:f>
                <c:numCache>
                  <c:formatCode>General</c:formatCode>
                  <c:ptCount val="20"/>
                  <c:pt idx="0">
                    <c:v>0.21956797597622</c:v>
                  </c:pt>
                  <c:pt idx="1">
                    <c:v>0.0640729189764606</c:v>
                  </c:pt>
                  <c:pt idx="2">
                    <c:v>0.101168139741804</c:v>
                  </c:pt>
                  <c:pt idx="3">
                    <c:v>0.0541111614042327</c:v>
                  </c:pt>
                  <c:pt idx="4">
                    <c:v>0.0332319186173513</c:v>
                  </c:pt>
                  <c:pt idx="5">
                    <c:v>0.546100525283983</c:v>
                  </c:pt>
                  <c:pt idx="6">
                    <c:v>0.0360793817876545</c:v>
                  </c:pt>
                  <c:pt idx="7">
                    <c:v>0.188379665041502</c:v>
                  </c:pt>
                  <c:pt idx="8">
                    <c:v>0.0787135578482029</c:v>
                  </c:pt>
                  <c:pt idx="9">
                    <c:v>0.159271039956568</c:v>
                  </c:pt>
                  <c:pt idx="10">
                    <c:v>0.150506597051483</c:v>
                  </c:pt>
                  <c:pt idx="11">
                    <c:v>0.169934502644752</c:v>
                  </c:pt>
                  <c:pt idx="12">
                    <c:v>0.3834553318024</c:v>
                  </c:pt>
                  <c:pt idx="13">
                    <c:v>0.22279042271071</c:v>
                  </c:pt>
                  <c:pt idx="14">
                    <c:v>0.14043361386471</c:v>
                  </c:pt>
                  <c:pt idx="15">
                    <c:v>0.107001858153122</c:v>
                  </c:pt>
                  <c:pt idx="16">
                    <c:v>0.0381737594087564</c:v>
                  </c:pt>
                  <c:pt idx="17">
                    <c:v>0.0327448373676006</c:v>
                  </c:pt>
                  <c:pt idx="18">
                    <c:v>0.0638662348134665</c:v>
                  </c:pt>
                  <c:pt idx="19">
                    <c:v>0.0357816891192411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Sheet2!$B$42:$B$61</c:f>
              <c:numCache>
                <c:formatCode>General</c:formatCode>
                <c:ptCount val="20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</c:numCache>
            </c:numRef>
          </c:xVal>
          <c:yVal>
            <c:numRef>
              <c:f>Sheet2!$C$42:$C$61</c:f>
              <c:numCache>
                <c:formatCode>General</c:formatCode>
                <c:ptCount val="20"/>
                <c:pt idx="0">
                  <c:v>4.15013891421446</c:v>
                </c:pt>
                <c:pt idx="1">
                  <c:v>4.13825795253111</c:v>
                </c:pt>
                <c:pt idx="2">
                  <c:v>4.04136866078817</c:v>
                </c:pt>
                <c:pt idx="3">
                  <c:v>4.13684320740347</c:v>
                </c:pt>
                <c:pt idx="4">
                  <c:v>4.02499548492273</c:v>
                </c:pt>
                <c:pt idx="5">
                  <c:v>4.45938266274427</c:v>
                </c:pt>
                <c:pt idx="6">
                  <c:v>4.17332801562883</c:v>
                </c:pt>
                <c:pt idx="7">
                  <c:v>4.22492708687181</c:v>
                </c:pt>
                <c:pt idx="8">
                  <c:v>4.2821274190903</c:v>
                </c:pt>
                <c:pt idx="9">
                  <c:v>4.51462160539644</c:v>
                </c:pt>
                <c:pt idx="10">
                  <c:v>4.67205164638335</c:v>
                </c:pt>
                <c:pt idx="11">
                  <c:v>4.37239497207361</c:v>
                </c:pt>
                <c:pt idx="12">
                  <c:v>4.51681185377533</c:v>
                </c:pt>
                <c:pt idx="13">
                  <c:v>3.93512191092464</c:v>
                </c:pt>
                <c:pt idx="14">
                  <c:v>3.53220541759418</c:v>
                </c:pt>
                <c:pt idx="15">
                  <c:v>3.01615240615314</c:v>
                </c:pt>
                <c:pt idx="16">
                  <c:v>2.85805640723923</c:v>
                </c:pt>
                <c:pt idx="17">
                  <c:v>3.32545755767239</c:v>
                </c:pt>
                <c:pt idx="18">
                  <c:v>3.470589696969</c:v>
                </c:pt>
                <c:pt idx="19">
                  <c:v>3.30919895127911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70623184"/>
        <c:axId val="270623744"/>
      </c:scatterChart>
      <c:scatterChart>
        <c:scatterStyle val="line"/>
        <c:varyColors val="0"/>
        <c:ser>
          <c:idx val="0"/>
          <c:order val="2"/>
          <c:tx>
            <c:strRef>
              <c:f>"Temp."</c:f>
              <c:strCache>
                <c:ptCount val="1"/>
                <c:pt idx="0">
                  <c:v>Temp.</c:v>
                </c:pt>
              </c:strCache>
            </c:strRef>
          </c:tx>
          <c:spPr>
            <a:ln w="25400" cap="rnd">
              <a:solidFill>
                <a:schemeClr val="tx1">
                  <a:lumMod val="95000"/>
                  <a:lumOff val="5000"/>
                </a:schemeClr>
              </a:solidFill>
              <a:prstDash val="sysDot"/>
              <a:round/>
            </a:ln>
            <a:effectLst/>
          </c:spPr>
          <c:marker>
            <c:symbol val="none"/>
          </c:marker>
          <c:dLbls>
            <c:delete val="1"/>
          </c:dLbls>
          <c:xVal>
            <c:numRef>
              <c:f>Sheet2!$B$4:$B$16</c:f>
              <c:numCache>
                <c:formatCode>General</c:formatCode>
                <c:ptCount val="13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60</c:v>
                </c:pt>
                <c:pt idx="11">
                  <c:v>70</c:v>
                </c:pt>
                <c:pt idx="12">
                  <c:v>80</c:v>
                </c:pt>
              </c:numCache>
            </c:numRef>
          </c:xVal>
          <c:yVal>
            <c:numRef>
              <c:f>Sheet2!$G$4:$G$16</c:f>
              <c:numCache>
                <c:formatCode>General</c:formatCode>
                <c:ptCount val="13"/>
                <c:pt idx="0">
                  <c:v>26</c:v>
                </c:pt>
                <c:pt idx="1">
                  <c:v>28</c:v>
                </c:pt>
                <c:pt idx="2">
                  <c:v>29</c:v>
                </c:pt>
                <c:pt idx="3">
                  <c:v>33</c:v>
                </c:pt>
                <c:pt idx="4">
                  <c:v>36</c:v>
                </c:pt>
                <c:pt idx="5">
                  <c:v>38</c:v>
                </c:pt>
                <c:pt idx="6">
                  <c:v>41</c:v>
                </c:pt>
                <c:pt idx="7">
                  <c:v>43</c:v>
                </c:pt>
                <c:pt idx="8">
                  <c:v>42</c:v>
                </c:pt>
                <c:pt idx="9">
                  <c:v>42</c:v>
                </c:pt>
                <c:pt idx="10">
                  <c:v>40</c:v>
                </c:pt>
                <c:pt idx="11">
                  <c:v>40</c:v>
                </c:pt>
                <c:pt idx="12">
                  <c:v>55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70624864"/>
        <c:axId val="270624304"/>
      </c:scatterChart>
      <c:valAx>
        <c:axId val="270623184"/>
        <c:scaling>
          <c:orientation val="minMax"/>
          <c:max val="85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lang="zh-CN"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ja-JP"/>
                  <a:t>Time(min)</a:t>
                </a:r>
                <a:endParaRPr lang="ja-JP" altLang="en-US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270623744"/>
        <c:crosses val="autoZero"/>
        <c:crossBetween val="midCat"/>
      </c:valAx>
      <c:valAx>
        <c:axId val="270623744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lang="zh-CN"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ja-JP" sz="1000" b="1" i="0" u="none" strike="noStrike" baseline="0">
                    <a:effectLst/>
                  </a:rPr>
                  <a:t>GABA(mg/100g) </a:t>
                </a:r>
                <a:endParaRPr lang="ja-JP" altLang="en-US" b="1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270623184"/>
        <c:crosses val="autoZero"/>
        <c:crossBetween val="midCat"/>
      </c:valAx>
      <c:valAx>
        <c:axId val="27062486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270624304"/>
        <c:crosses val="autoZero"/>
        <c:crossBetween val="midCat"/>
      </c:valAx>
      <c:valAx>
        <c:axId val="270624304"/>
        <c:scaling>
          <c:orientation val="minMax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lang="zh-CN"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ja-JP" sz="1000" b="1" i="0" baseline="0">
                    <a:effectLst/>
                  </a:rPr>
                  <a:t>Temperature(</a:t>
                </a:r>
                <a:r>
                  <a:rPr lang="ja-JP" altLang="ja-JP" sz="1000" b="1" i="0" baseline="0">
                    <a:effectLst/>
                  </a:rPr>
                  <a:t>℃</a:t>
                </a:r>
                <a:r>
                  <a:rPr lang="en-US" altLang="ja-JP" sz="1000" b="1" i="0" baseline="0">
                    <a:effectLst/>
                  </a:rPr>
                  <a:t>)</a:t>
                </a:r>
                <a:endParaRPr lang="ja-JP" altLang="ja-JP" sz="1000" b="1">
                  <a:effectLst/>
                </a:endParaRP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270624864"/>
        <c:crosses val="max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180273723516519"/>
          <c:y val="0.867488113506578"/>
          <c:w val="0.583328733392862"/>
          <c:h val="0.098061432416794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zh-CN"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</a:p>
      </c:txPr>
    </c:legend>
    <c:plotVisOnly val="1"/>
    <c:dispBlanksAs val="gap"/>
    <c:showDLblsOverMax val="0"/>
    <c:extLst>
      <c:ext uri="{0b15fc19-7d7d-44ad-8c2d-2c3a37ce22c3}">
        <chartProps xmlns="https://web.wps.cn/et/2018/main" chartId="{24096dc2-420c-4902-b98b-5f7ecdd11424}"/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zh-CN"/>
      </a:pPr>
    </a:p>
  </c:txPr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2"/>
          <c:order val="0"/>
          <c:tx>
            <c:strRef>
              <c:f>"Control"</c:f>
              <c:strCache>
                <c:ptCount val="1"/>
                <c:pt idx="0">
                  <c:v>Control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6"/>
            <c:spPr>
              <a:solidFill>
                <a:schemeClr val="accent3"/>
              </a:solidFill>
              <a:ln w="9525">
                <a:solidFill>
                  <a:schemeClr val="bg1">
                    <a:lumMod val="65000"/>
                  </a:schemeClr>
                </a:solidFill>
              </a:ln>
              <a:effectLst/>
            </c:spPr>
          </c:marker>
          <c:dLbls>
            <c:delete val="1"/>
          </c:dLbls>
          <c:errBars>
            <c:errDir val="y"/>
            <c:errBarType val="both"/>
            <c:errValType val="cust"/>
            <c:noEndCap val="0"/>
            <c:plus>
              <c:numRef>
                <c:f>Sheet2!$D$42:$D$63</c:f>
                <c:numCache>
                  <c:formatCode>General</c:formatCode>
                  <c:ptCount val="22"/>
                  <c:pt idx="0">
                    <c:v>0.21956797597622</c:v>
                  </c:pt>
                  <c:pt idx="1">
                    <c:v>0.0640729189764606</c:v>
                  </c:pt>
                  <c:pt idx="2">
                    <c:v>0.101168139741804</c:v>
                  </c:pt>
                  <c:pt idx="3">
                    <c:v>0.0541111614042327</c:v>
                  </c:pt>
                  <c:pt idx="4">
                    <c:v>0.0332319186173513</c:v>
                  </c:pt>
                  <c:pt idx="5">
                    <c:v>0.546100525283983</c:v>
                  </c:pt>
                  <c:pt idx="6">
                    <c:v>0.0360793817876545</c:v>
                  </c:pt>
                  <c:pt idx="7">
                    <c:v>0.188379665041502</c:v>
                  </c:pt>
                  <c:pt idx="8">
                    <c:v>0.0787135578482029</c:v>
                  </c:pt>
                  <c:pt idx="9">
                    <c:v>0.159271039956568</c:v>
                  </c:pt>
                  <c:pt idx="10">
                    <c:v>0.150506597051483</c:v>
                  </c:pt>
                  <c:pt idx="11">
                    <c:v>0.169934502644752</c:v>
                  </c:pt>
                  <c:pt idx="12">
                    <c:v>0.3834553318024</c:v>
                  </c:pt>
                  <c:pt idx="13">
                    <c:v>0.22279042271071</c:v>
                  </c:pt>
                  <c:pt idx="14">
                    <c:v>0.14043361386471</c:v>
                  </c:pt>
                  <c:pt idx="15">
                    <c:v>0.107001858153122</c:v>
                  </c:pt>
                  <c:pt idx="16">
                    <c:v>0.0381737594087564</c:v>
                  </c:pt>
                  <c:pt idx="17">
                    <c:v>0.0327448373676006</c:v>
                  </c:pt>
                  <c:pt idx="18">
                    <c:v>0.0638662348134665</c:v>
                  </c:pt>
                  <c:pt idx="19">
                    <c:v>0.0357816891192411</c:v>
                  </c:pt>
                  <c:pt idx="20">
                    <c:v>0.0555861144093927</c:v>
                  </c:pt>
                </c:numCache>
              </c:numRef>
            </c:plus>
            <c:minus>
              <c:numRef>
                <c:f>Sheet2!$D$42:$D$63</c:f>
                <c:numCache>
                  <c:formatCode>General</c:formatCode>
                  <c:ptCount val="22"/>
                  <c:pt idx="0">
                    <c:v>0.21956797597622</c:v>
                  </c:pt>
                  <c:pt idx="1">
                    <c:v>0.0640729189764606</c:v>
                  </c:pt>
                  <c:pt idx="2">
                    <c:v>0.101168139741804</c:v>
                  </c:pt>
                  <c:pt idx="3">
                    <c:v>0.0541111614042327</c:v>
                  </c:pt>
                  <c:pt idx="4">
                    <c:v>0.0332319186173513</c:v>
                  </c:pt>
                  <c:pt idx="5">
                    <c:v>0.546100525283983</c:v>
                  </c:pt>
                  <c:pt idx="6">
                    <c:v>0.0360793817876545</c:v>
                  </c:pt>
                  <c:pt idx="7">
                    <c:v>0.188379665041502</c:v>
                  </c:pt>
                  <c:pt idx="8">
                    <c:v>0.0787135578482029</c:v>
                  </c:pt>
                  <c:pt idx="9">
                    <c:v>0.159271039956568</c:v>
                  </c:pt>
                  <c:pt idx="10">
                    <c:v>0.150506597051483</c:v>
                  </c:pt>
                  <c:pt idx="11">
                    <c:v>0.169934502644752</c:v>
                  </c:pt>
                  <c:pt idx="12">
                    <c:v>0.3834553318024</c:v>
                  </c:pt>
                  <c:pt idx="13">
                    <c:v>0.22279042271071</c:v>
                  </c:pt>
                  <c:pt idx="14">
                    <c:v>0.14043361386471</c:v>
                  </c:pt>
                  <c:pt idx="15">
                    <c:v>0.107001858153122</c:v>
                  </c:pt>
                  <c:pt idx="16">
                    <c:v>0.0381737594087564</c:v>
                  </c:pt>
                  <c:pt idx="17">
                    <c:v>0.0327448373676006</c:v>
                  </c:pt>
                  <c:pt idx="18">
                    <c:v>0.0638662348134665</c:v>
                  </c:pt>
                  <c:pt idx="19">
                    <c:v>0.0357816891192411</c:v>
                  </c:pt>
                  <c:pt idx="20">
                    <c:v>0.0555861144093927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Sheet2!$B$42:$B$62</c:f>
              <c:numCache>
                <c:formatCode>General</c:formatCode>
                <c:ptCount val="21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</c:numCache>
            </c:numRef>
          </c:xVal>
          <c:yVal>
            <c:numRef>
              <c:f>Sheet2!$E$42:$E$62</c:f>
              <c:numCache>
                <c:formatCode>General</c:formatCode>
                <c:ptCount val="21"/>
                <c:pt idx="0">
                  <c:v>40.2457225971146</c:v>
                </c:pt>
                <c:pt idx="1">
                  <c:v>40.1305076855228</c:v>
                </c:pt>
                <c:pt idx="2">
                  <c:v>39.1909296042298</c:v>
                </c:pt>
                <c:pt idx="3">
                  <c:v>40.1167882797078</c:v>
                </c:pt>
                <c:pt idx="4">
                  <c:v>39.0321517156975</c:v>
                </c:pt>
                <c:pt idx="5">
                  <c:v>43.244595255472</c:v>
                </c:pt>
                <c:pt idx="6">
                  <c:v>40.470597513856</c:v>
                </c:pt>
                <c:pt idx="7">
                  <c:v>40.9709764048857</c:v>
                </c:pt>
                <c:pt idx="8">
                  <c:v>41.5256731874544</c:v>
                </c:pt>
                <c:pt idx="9">
                  <c:v>43.7802715806482</c:v>
                </c:pt>
                <c:pt idx="10">
                  <c:v>45.306939937775</c:v>
                </c:pt>
                <c:pt idx="11">
                  <c:v>42.4010373552523</c:v>
                </c:pt>
                <c:pt idx="12">
                  <c:v>43.8015113826157</c:v>
                </c:pt>
                <c:pt idx="13">
                  <c:v>38.1606081354213</c:v>
                </c:pt>
                <c:pt idx="14">
                  <c:v>34.2533496663517</c:v>
                </c:pt>
                <c:pt idx="15">
                  <c:v>29.2489566151391</c:v>
                </c:pt>
                <c:pt idx="16">
                  <c:v>27.7158301710553</c:v>
                </c:pt>
                <c:pt idx="17">
                  <c:v>32.2484247252947</c:v>
                </c:pt>
                <c:pt idx="18">
                  <c:v>33.6558349201804</c:v>
                </c:pt>
                <c:pt idx="19">
                  <c:v>32.0907578673304</c:v>
                </c:pt>
                <c:pt idx="20">
                  <c:v>25.7021210337148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"NH4Cl add"</c:f>
              <c:strCache>
                <c:ptCount val="1"/>
                <c:pt idx="0">
                  <c:v>NH4Cl add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6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dLbls>
            <c:delete val="1"/>
          </c:dLbls>
          <c:errBars>
            <c:errDir val="y"/>
            <c:errBarType val="both"/>
            <c:errValType val="cust"/>
            <c:noEndCap val="0"/>
            <c:plus>
              <c:numRef>
                <c:f>Sheet2!$D$66:$D$82</c:f>
                <c:numCache>
                  <c:formatCode>General</c:formatCode>
                  <c:ptCount val="17"/>
                  <c:pt idx="0">
                    <c:v>0.0721878040217749</c:v>
                  </c:pt>
                  <c:pt idx="1">
                    <c:v>0.0721975558043977</c:v>
                  </c:pt>
                  <c:pt idx="2">
                    <c:v>0.0998282736377732</c:v>
                  </c:pt>
                  <c:pt idx="3">
                    <c:v>0.163024821665531</c:v>
                  </c:pt>
                  <c:pt idx="4">
                    <c:v>0.378345372580047</c:v>
                  </c:pt>
                  <c:pt idx="5">
                    <c:v>0.100336909945842</c:v>
                  </c:pt>
                  <c:pt idx="6">
                    <c:v>0.555972319505067</c:v>
                  </c:pt>
                  <c:pt idx="7">
                    <c:v>0.457789436662617</c:v>
                  </c:pt>
                  <c:pt idx="8">
                    <c:v>0.183043535358664</c:v>
                  </c:pt>
                  <c:pt idx="9">
                    <c:v>0.573188746085538</c:v>
                  </c:pt>
                  <c:pt idx="10">
                    <c:v>0.396857459402314</c:v>
                  </c:pt>
                  <c:pt idx="11">
                    <c:v>0.286239817954431</c:v>
                  </c:pt>
                  <c:pt idx="12">
                    <c:v>0.350663506594123</c:v>
                  </c:pt>
                  <c:pt idx="13">
                    <c:v>0.743291180939373</c:v>
                  </c:pt>
                  <c:pt idx="14">
                    <c:v>0.174302379578875</c:v>
                  </c:pt>
                  <c:pt idx="15">
                    <c:v>0.445638230391219</c:v>
                  </c:pt>
                  <c:pt idx="16">
                    <c:v>0.329233235707381</c:v>
                  </c:pt>
                </c:numCache>
              </c:numRef>
            </c:plus>
            <c:minus>
              <c:numRef>
                <c:f>Sheet2!$D$66:$D$82</c:f>
                <c:numCache>
                  <c:formatCode>General</c:formatCode>
                  <c:ptCount val="17"/>
                  <c:pt idx="0">
                    <c:v>0.0721878040217749</c:v>
                  </c:pt>
                  <c:pt idx="1">
                    <c:v>0.0721975558043977</c:v>
                  </c:pt>
                  <c:pt idx="2">
                    <c:v>0.0998282736377732</c:v>
                  </c:pt>
                  <c:pt idx="3">
                    <c:v>0.163024821665531</c:v>
                  </c:pt>
                  <c:pt idx="4">
                    <c:v>0.378345372580047</c:v>
                  </c:pt>
                  <c:pt idx="5">
                    <c:v>0.100336909945842</c:v>
                  </c:pt>
                  <c:pt idx="6">
                    <c:v>0.555972319505067</c:v>
                  </c:pt>
                  <c:pt idx="7">
                    <c:v>0.457789436662617</c:v>
                  </c:pt>
                  <c:pt idx="8">
                    <c:v>0.183043535358664</c:v>
                  </c:pt>
                  <c:pt idx="9">
                    <c:v>0.573188746085538</c:v>
                  </c:pt>
                  <c:pt idx="10">
                    <c:v>0.396857459402314</c:v>
                  </c:pt>
                  <c:pt idx="11">
                    <c:v>0.286239817954431</c:v>
                  </c:pt>
                  <c:pt idx="12">
                    <c:v>0.350663506594123</c:v>
                  </c:pt>
                  <c:pt idx="13">
                    <c:v>0.743291180939373</c:v>
                  </c:pt>
                  <c:pt idx="14">
                    <c:v>0.174302379578875</c:v>
                  </c:pt>
                  <c:pt idx="15">
                    <c:v>0.445638230391219</c:v>
                  </c:pt>
                  <c:pt idx="16">
                    <c:v>0.329233235707381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Sheet2!$B$66:$B$82</c:f>
              <c:numCache>
                <c:formatCode>General</c:formatCode>
                <c:ptCount val="17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105</c:v>
                </c:pt>
              </c:numCache>
            </c:numRef>
          </c:xVal>
          <c:yVal>
            <c:numRef>
              <c:f>Sheet2!$E$66:$E$82</c:f>
              <c:numCache>
                <c:formatCode>General</c:formatCode>
                <c:ptCount val="17"/>
                <c:pt idx="0">
                  <c:v>49.6488570847532</c:v>
                </c:pt>
                <c:pt idx="1">
                  <c:v>48.7186857662529</c:v>
                </c:pt>
                <c:pt idx="2">
                  <c:v>47.8496103121009</c:v>
                </c:pt>
                <c:pt idx="3">
                  <c:v>49.5623660315443</c:v>
                </c:pt>
                <c:pt idx="4">
                  <c:v>52.4944262052242</c:v>
                </c:pt>
                <c:pt idx="5">
                  <c:v>49.5700907046066</c:v>
                </c:pt>
                <c:pt idx="6">
                  <c:v>54.1884560259056</c:v>
                </c:pt>
                <c:pt idx="7">
                  <c:v>57.4472488048227</c:v>
                </c:pt>
                <c:pt idx="8">
                  <c:v>56.0208763773571</c:v>
                </c:pt>
                <c:pt idx="9">
                  <c:v>63.0091055572744</c:v>
                </c:pt>
                <c:pt idx="10">
                  <c:v>70.6645738735174</c:v>
                </c:pt>
                <c:pt idx="11">
                  <c:v>74.2528444549007</c:v>
                </c:pt>
                <c:pt idx="12">
                  <c:v>72.8726664623517</c:v>
                </c:pt>
                <c:pt idx="13">
                  <c:v>78.352179707461</c:v>
                </c:pt>
                <c:pt idx="14">
                  <c:v>63.9778367350826</c:v>
                </c:pt>
                <c:pt idx="15">
                  <c:v>62.3821546553675</c:v>
                </c:pt>
                <c:pt idx="16">
                  <c:v>77.2405888847133</c:v>
                </c:pt>
              </c:numCache>
            </c:numRef>
          </c:yVal>
          <c:smooth val="0"/>
        </c:ser>
        <c:ser>
          <c:idx val="0"/>
          <c:order val="2"/>
          <c:tx>
            <c:strRef>
              <c:f>"Glu add"</c:f>
              <c:strCache>
                <c:ptCount val="1"/>
                <c:pt idx="0">
                  <c:v>Glu add</c:v>
                </c:pt>
              </c:strCache>
            </c:strRef>
          </c:tx>
          <c:spPr>
            <a:ln w="19050" cap="rnd">
              <a:solidFill>
                <a:srgbClr val="C00000"/>
              </a:solidFill>
              <a:round/>
            </a:ln>
            <a:effectLst/>
          </c:spPr>
          <c:marker>
            <c:symbol val="circle"/>
            <c:size val="6"/>
            <c:spPr>
              <a:solidFill>
                <a:srgbClr val="C00000"/>
              </a:solidFill>
              <a:ln w="9525">
                <a:solidFill>
                  <a:srgbClr val="C00000"/>
                </a:solidFill>
              </a:ln>
              <a:effectLst/>
            </c:spPr>
          </c:marker>
          <c:dLbls>
            <c:delete val="1"/>
          </c:dLbls>
          <c:errBars>
            <c:errDir val="y"/>
            <c:errBarType val="both"/>
            <c:errValType val="cust"/>
            <c:noEndCap val="0"/>
            <c:plus>
              <c:numRef>
                <c:f>Sheet2!$D$4:$D$17</c:f>
                <c:numCache>
                  <c:formatCode>General</c:formatCode>
                  <c:ptCount val="14"/>
                  <c:pt idx="0">
                    <c:v>0.114790878545589</c:v>
                  </c:pt>
                  <c:pt idx="1">
                    <c:v>0.252236294974785</c:v>
                  </c:pt>
                  <c:pt idx="2">
                    <c:v>0.175875191231682</c:v>
                  </c:pt>
                  <c:pt idx="3">
                    <c:v>0.626038088481913</c:v>
                  </c:pt>
                  <c:pt idx="4">
                    <c:v>2.42251432921659</c:v>
                  </c:pt>
                  <c:pt idx="5">
                    <c:v>0.413255038599483</c:v>
                  </c:pt>
                  <c:pt idx="6">
                    <c:v>1.07519932542047</c:v>
                  </c:pt>
                  <c:pt idx="7">
                    <c:v>1.04275549548542</c:v>
                  </c:pt>
                  <c:pt idx="8">
                    <c:v>0.879633787085974</c:v>
                  </c:pt>
                  <c:pt idx="9">
                    <c:v>1.84735808107854</c:v>
                  </c:pt>
                  <c:pt idx="10">
                    <c:v>0.488762437918142</c:v>
                  </c:pt>
                  <c:pt idx="11">
                    <c:v>0.23517771212844</c:v>
                  </c:pt>
                  <c:pt idx="12">
                    <c:v>0.821323422658626</c:v>
                  </c:pt>
                  <c:pt idx="13">
                    <c:v>0.48781475264822</c:v>
                  </c:pt>
                </c:numCache>
              </c:numRef>
            </c:plus>
            <c:minus>
              <c:numRef>
                <c:f>Sheet2!$D$4:$D$17</c:f>
                <c:numCache>
                  <c:formatCode>General</c:formatCode>
                  <c:ptCount val="14"/>
                  <c:pt idx="0">
                    <c:v>0.114790878545589</c:v>
                  </c:pt>
                  <c:pt idx="1">
                    <c:v>0.252236294974785</c:v>
                  </c:pt>
                  <c:pt idx="2">
                    <c:v>0.175875191231682</c:v>
                  </c:pt>
                  <c:pt idx="3">
                    <c:v>0.626038088481913</c:v>
                  </c:pt>
                  <c:pt idx="4">
                    <c:v>2.42251432921659</c:v>
                  </c:pt>
                  <c:pt idx="5">
                    <c:v>0.413255038599483</c:v>
                  </c:pt>
                  <c:pt idx="6">
                    <c:v>1.07519932542047</c:v>
                  </c:pt>
                  <c:pt idx="7">
                    <c:v>1.04275549548542</c:v>
                  </c:pt>
                  <c:pt idx="8">
                    <c:v>0.879633787085974</c:v>
                  </c:pt>
                  <c:pt idx="9">
                    <c:v>1.84735808107854</c:v>
                  </c:pt>
                  <c:pt idx="10">
                    <c:v>0.488762437918142</c:v>
                  </c:pt>
                  <c:pt idx="11">
                    <c:v>0.23517771212844</c:v>
                  </c:pt>
                  <c:pt idx="12">
                    <c:v>0.821323422658626</c:v>
                  </c:pt>
                  <c:pt idx="13">
                    <c:v>0.48781475264822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Sheet2!$B$4:$B$17</c:f>
              <c:numCache>
                <c:formatCode>General</c:formatCod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60</c:v>
                </c:pt>
                <c:pt idx="11">
                  <c:v>70</c:v>
                </c:pt>
                <c:pt idx="12">
                  <c:v>80</c:v>
                </c:pt>
                <c:pt idx="13">
                  <c:v>105</c:v>
                </c:pt>
              </c:numCache>
            </c:numRef>
          </c:xVal>
          <c:yVal>
            <c:numRef>
              <c:f>Sheet2!$E$4:$E$17</c:f>
              <c:numCache>
                <c:formatCode>General</c:formatCode>
                <c:ptCount val="14"/>
                <c:pt idx="0">
                  <c:v>46.0061911621502</c:v>
                </c:pt>
                <c:pt idx="1">
                  <c:v>47.7388274106842</c:v>
                </c:pt>
                <c:pt idx="2">
                  <c:v>48.0733200866863</c:v>
                </c:pt>
                <c:pt idx="3">
                  <c:v>306.861764691532</c:v>
                </c:pt>
                <c:pt idx="4">
                  <c:v>325.121451824402</c:v>
                </c:pt>
                <c:pt idx="5">
                  <c:v>329.191655877186</c:v>
                </c:pt>
                <c:pt idx="6">
                  <c:v>360.083159894954</c:v>
                </c:pt>
                <c:pt idx="7">
                  <c:v>401.477695711959</c:v>
                </c:pt>
                <c:pt idx="8">
                  <c:v>411.227650760191</c:v>
                </c:pt>
                <c:pt idx="9">
                  <c:v>376.990413176061</c:v>
                </c:pt>
                <c:pt idx="10">
                  <c:v>375.817922342129</c:v>
                </c:pt>
                <c:pt idx="11">
                  <c:v>360.375067416943</c:v>
                </c:pt>
                <c:pt idx="12">
                  <c:v>349.504874528484</c:v>
                </c:pt>
                <c:pt idx="13">
                  <c:v>253.266690738317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70655392"/>
        <c:axId val="270655952"/>
      </c:scatterChart>
      <c:scatterChart>
        <c:scatterStyle val="lineMarker"/>
        <c:varyColors val="0"/>
        <c:ser>
          <c:idx val="3"/>
          <c:order val="3"/>
          <c:tx>
            <c:strRef>
              <c:f>Sheet2!$B$85</c:f>
              <c:strCache>
                <c:ptCount val="1"/>
                <c:pt idx="0">
                  <c:v>Glu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dLbls>
            <c:delete val="1"/>
          </c:dLbls>
          <c:xVal>
            <c:numRef>
              <c:f>Sheet2!$B$88:$B$90</c:f>
              <c:numCache>
                <c:formatCode>General</c:formatCode>
                <c:ptCount val="3"/>
                <c:pt idx="0">
                  <c:v>5</c:v>
                </c:pt>
                <c:pt idx="1">
                  <c:v>70</c:v>
                </c:pt>
                <c:pt idx="2">
                  <c:v>105</c:v>
                </c:pt>
              </c:numCache>
            </c:numRef>
          </c:xVal>
          <c:yVal>
            <c:numRef>
              <c:f>Sheet2!$E$88:$E$90</c:f>
              <c:numCache>
                <c:formatCode>General</c:formatCode>
                <c:ptCount val="3"/>
                <c:pt idx="0">
                  <c:v>968.989079516479</c:v>
                </c:pt>
                <c:pt idx="1">
                  <c:v>647.993161843008</c:v>
                </c:pt>
                <c:pt idx="2">
                  <c:v>464.343853354381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70657072"/>
        <c:axId val="270656512"/>
      </c:scatterChart>
      <c:valAx>
        <c:axId val="270655392"/>
        <c:scaling>
          <c:orientation val="minMax"/>
          <c:max val="115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lang="zh-CN"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ja-JP"/>
                  <a:t>Time(min)</a:t>
                </a:r>
                <a:endParaRPr lang="ja-JP" altLang="en-US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270655952"/>
        <c:crosses val="autoZero"/>
        <c:crossBetween val="midCat"/>
        <c:majorUnit val="10"/>
      </c:valAx>
      <c:valAx>
        <c:axId val="270655952"/>
        <c:scaling>
          <c:orientation val="minMax"/>
          <c:max val="100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lang="zh-CN"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ja-JP"/>
                  <a:t>GABA(μmol/100g)</a:t>
                </a:r>
                <a:endParaRPr lang="ja-JP" altLang="en-US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270655392"/>
        <c:crosses val="autoZero"/>
        <c:crossBetween val="midCat"/>
        <c:majorUnit val="100"/>
      </c:valAx>
      <c:valAx>
        <c:axId val="27065707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270656512"/>
        <c:crosses val="autoZero"/>
        <c:crossBetween val="midCat"/>
      </c:valAx>
      <c:valAx>
        <c:axId val="270656512"/>
        <c:scaling>
          <c:orientation val="minMax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270657072"/>
        <c:crosses val="max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zh-CN"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</a:p>
      </c:txPr>
    </c:legend>
    <c:plotVisOnly val="1"/>
    <c:dispBlanksAs val="gap"/>
    <c:showDLblsOverMax val="0"/>
    <c:extLst>
      <c:ext uri="{0b15fc19-7d7d-44ad-8c2d-2c3a37ce22c3}">
        <chartProps xmlns="https://web.wps.cn/et/2018/main" chartId="{635711dd-4fb8-4a72-8990-e7c363100c23}"/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zh-CN"/>
      </a:pPr>
    </a:p>
  </c:txPr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zh-CN"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solidFill>
                <a:sysClr val="windowText" lastClr="00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ysClr val="windowText" lastClr="000000"/>
                </a:solidFill>
              </a:ln>
              <a:effectLst/>
            </c:spPr>
          </c:marker>
          <c:dLbls>
            <c:delete val="1"/>
          </c:dLbls>
          <c:errBars>
            <c:errDir val="y"/>
            <c:errBarType val="both"/>
            <c:errValType val="cust"/>
            <c:noEndCap val="0"/>
            <c:plus>
              <c:numRef>
                <c:f>Sheet2!$F$87:$F$90</c:f>
                <c:numCache>
                  <c:formatCode>General</c:formatCode>
                  <c:ptCount val="4"/>
                </c:numCache>
              </c:numRef>
            </c:plus>
            <c:minus>
              <c:numRef>
                <c:f>Sheet2!$F$87:$F$90</c:f>
                <c:numCache>
                  <c:formatCode>General</c:formatCode>
                  <c:ptCount val="4"/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Sheet2!$B$88:$B$90</c:f>
              <c:numCache>
                <c:formatCode>General</c:formatCode>
                <c:ptCount val="3"/>
                <c:pt idx="0">
                  <c:v>5</c:v>
                </c:pt>
                <c:pt idx="1">
                  <c:v>70</c:v>
                </c:pt>
                <c:pt idx="2">
                  <c:v>105</c:v>
                </c:pt>
              </c:numCache>
            </c:numRef>
          </c:xVal>
          <c:yVal>
            <c:numRef>
              <c:f>Sheet2!$E$88:$E$90</c:f>
              <c:numCache>
                <c:formatCode>General</c:formatCode>
                <c:ptCount val="3"/>
                <c:pt idx="0">
                  <c:v>968.989079516479</c:v>
                </c:pt>
                <c:pt idx="1">
                  <c:v>647.993161843008</c:v>
                </c:pt>
                <c:pt idx="2">
                  <c:v>464.343853354381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70658752"/>
        <c:axId val="270945360"/>
      </c:scatterChart>
      <c:valAx>
        <c:axId val="2706587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270945360"/>
        <c:crosses val="autoZero"/>
        <c:crossBetween val="midCat"/>
      </c:valAx>
      <c:valAx>
        <c:axId val="270945360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27065875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  <c:extLst>
      <c:ext uri="{0b15fc19-7d7d-44ad-8c2d-2c3a37ce22c3}">
        <chartProps xmlns="https://web.wps.cn/et/2018/main" chartId="{81ffd5f5-bb9c-4055-b149-a0d080c1335a}"/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zh-CN"/>
      </a:pPr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elete val="1"/>
          </c:dLbls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225518191441539"/>
                  <c:y val="0.0754716981132075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lang="zh-CN"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</a:p>
              </c:txPr>
            </c:trendlineLbl>
          </c:trendline>
          <c:xVal>
            <c:numRef>
              <c:f>'BLK23'!$B$20:$B$22</c:f>
              <c:numCache>
                <c:formatCode>General</c:formatCode>
                <c:ptCount val="3"/>
                <c:pt idx="0">
                  <c:v>10</c:v>
                </c:pt>
                <c:pt idx="1">
                  <c:v>50</c:v>
                </c:pt>
                <c:pt idx="2">
                  <c:v>100</c:v>
                </c:pt>
              </c:numCache>
            </c:numRef>
          </c:xVal>
          <c:yVal>
            <c:numRef>
              <c:f>'BLK23'!$C$20:$C$22</c:f>
              <c:numCache>
                <c:formatCode>General</c:formatCode>
                <c:ptCount val="3"/>
                <c:pt idx="0">
                  <c:v>248868</c:v>
                </c:pt>
                <c:pt idx="1">
                  <c:v>2528920</c:v>
                </c:pt>
                <c:pt idx="2">
                  <c:v>4946256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68657232"/>
        <c:axId val="268657792"/>
      </c:scatterChart>
      <c:valAx>
        <c:axId val="26865723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268657792"/>
        <c:crosses val="autoZero"/>
        <c:crossBetween val="midCat"/>
      </c:valAx>
      <c:valAx>
        <c:axId val="2686577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26865723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  <c:extLst>
      <c:ext uri="{0b15fc19-7d7d-44ad-8c2d-2c3a37ce22c3}">
        <chartProps xmlns="https://web.wps.cn/et/2018/main" chartId="{e59907ef-fab9-4c86-9b53-7a8cce1ec9f1}"/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zh-CN"/>
      </a:pPr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elete val="1"/>
          </c:dLbls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225518191441539"/>
                  <c:y val="0.0754716981132075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lang="zh-CN"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</a:p>
              </c:txPr>
            </c:trendlineLbl>
          </c:trendline>
          <c:xVal>
            <c:numRef>
              <c:f>'BLK23'!$B$40:$B$42</c:f>
              <c:numCache>
                <c:formatCode>General</c:formatCode>
                <c:ptCount val="3"/>
                <c:pt idx="0">
                  <c:v>10</c:v>
                </c:pt>
                <c:pt idx="1">
                  <c:v>50</c:v>
                </c:pt>
                <c:pt idx="2">
                  <c:v>100</c:v>
                </c:pt>
              </c:numCache>
            </c:numRef>
          </c:xVal>
          <c:yVal>
            <c:numRef>
              <c:f>'BLK23'!$C$40:$C$42</c:f>
              <c:numCache>
                <c:formatCode>General</c:formatCode>
                <c:ptCount val="3"/>
                <c:pt idx="0">
                  <c:v>256384</c:v>
                </c:pt>
                <c:pt idx="1">
                  <c:v>2614509</c:v>
                </c:pt>
                <c:pt idx="2">
                  <c:v>4727913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68660032"/>
        <c:axId val="268660592"/>
      </c:scatterChart>
      <c:valAx>
        <c:axId val="26866003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268660592"/>
        <c:crosses val="autoZero"/>
        <c:crossBetween val="midCat"/>
      </c:valAx>
      <c:valAx>
        <c:axId val="2686605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26866003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  <c:extLst>
      <c:ext uri="{0b15fc19-7d7d-44ad-8c2d-2c3a37ce22c3}">
        <chartProps xmlns="https://web.wps.cn/et/2018/main" chartId="{6e7b6237-5671-473c-8f6a-95b9be89e71e}"/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zh-CN"/>
      </a:pPr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elete val="1"/>
          </c:dLbls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/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lang="zh-CN"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</a:p>
              </c:txPr>
            </c:trendlineLbl>
          </c:trendline>
          <c:xVal>
            <c:numRef>
              <c:f>NH4Cl!$B$1:$B$3</c:f>
              <c:numCache>
                <c:formatCode>General</c:formatCode>
                <c:ptCount val="3"/>
                <c:pt idx="0">
                  <c:v>10</c:v>
                </c:pt>
                <c:pt idx="1">
                  <c:v>50</c:v>
                </c:pt>
                <c:pt idx="2">
                  <c:v>100</c:v>
                </c:pt>
              </c:numCache>
            </c:numRef>
          </c:xVal>
          <c:yVal>
            <c:numRef>
              <c:f>NH4Cl!$C$1:$C$3</c:f>
              <c:numCache>
                <c:formatCode>General</c:formatCode>
                <c:ptCount val="3"/>
                <c:pt idx="0">
                  <c:v>255709</c:v>
                </c:pt>
                <c:pt idx="1">
                  <c:v>2580239</c:v>
                </c:pt>
                <c:pt idx="2">
                  <c:v>4582633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69040816"/>
        <c:axId val="269041376"/>
      </c:scatterChart>
      <c:valAx>
        <c:axId val="2690408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269041376"/>
        <c:crosses val="autoZero"/>
        <c:crossBetween val="midCat"/>
      </c:valAx>
      <c:valAx>
        <c:axId val="26904137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26904081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  <c:extLst>
      <c:ext uri="{0b15fc19-7d7d-44ad-8c2d-2c3a37ce22c3}">
        <chartProps xmlns="https://web.wps.cn/et/2018/main" chartId="{2685e274-9b3b-4243-af60-a18511bee1e3}"/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zh-CN"/>
      </a:pPr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elete val="1"/>
          </c:dLbls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/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lang="zh-CN"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</a:p>
              </c:txPr>
            </c:trendlineLbl>
          </c:trendline>
          <c:xVal>
            <c:numRef>
              <c:f>NH4Cl!$B$26:$B$28</c:f>
              <c:numCache>
                <c:formatCode>General</c:formatCode>
                <c:ptCount val="3"/>
                <c:pt idx="0">
                  <c:v>10</c:v>
                </c:pt>
                <c:pt idx="1">
                  <c:v>50</c:v>
                </c:pt>
                <c:pt idx="2">
                  <c:v>100</c:v>
                </c:pt>
              </c:numCache>
            </c:numRef>
          </c:xVal>
          <c:yVal>
            <c:numRef>
              <c:f>NH4Cl!$C$26:$C$28</c:f>
              <c:numCache>
                <c:formatCode>General</c:formatCode>
                <c:ptCount val="3"/>
                <c:pt idx="0">
                  <c:v>248208</c:v>
                </c:pt>
                <c:pt idx="1">
                  <c:v>2421472</c:v>
                </c:pt>
                <c:pt idx="2">
                  <c:v>4692556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69043616"/>
        <c:axId val="269044176"/>
      </c:scatterChart>
      <c:valAx>
        <c:axId val="2690436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269044176"/>
        <c:crosses val="autoZero"/>
        <c:crossBetween val="midCat"/>
      </c:valAx>
      <c:valAx>
        <c:axId val="26904417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269043616"/>
        <c:crosses val="autoZero"/>
        <c:crossBetween val="midCat"/>
      </c:valAx>
      <c:spPr>
        <a:noFill/>
        <a:ln w="25400">
          <a:noFill/>
        </a:ln>
        <a:effectLst/>
      </c:spPr>
    </c:plotArea>
    <c:plotVisOnly val="1"/>
    <c:dispBlanksAs val="gap"/>
    <c:showDLblsOverMax val="0"/>
    <c:extLst>
      <c:ext uri="{0b15fc19-7d7d-44ad-8c2d-2c3a37ce22c3}">
        <chartProps xmlns="https://web.wps.cn/et/2018/main" chartId="{173af15a-70dc-4d95-8c5d-428476dfd7f9}"/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zh-CN"/>
      </a:pPr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elete val="1"/>
          </c:dLbls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/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lang="zh-CN"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</a:p>
              </c:txPr>
            </c:trendlineLbl>
          </c:trendline>
          <c:xVal>
            <c:numRef>
              <c:f>NH4Cl!$B$47:$B$49</c:f>
              <c:numCache>
                <c:formatCode>General</c:formatCode>
                <c:ptCount val="3"/>
                <c:pt idx="0">
                  <c:v>10</c:v>
                </c:pt>
                <c:pt idx="1">
                  <c:v>50</c:v>
                </c:pt>
                <c:pt idx="2">
                  <c:v>100</c:v>
                </c:pt>
              </c:numCache>
            </c:numRef>
          </c:xVal>
          <c:yVal>
            <c:numRef>
              <c:f>NH4Cl!$C$47:$C$49</c:f>
              <c:numCache>
                <c:formatCode>General</c:formatCode>
                <c:ptCount val="3"/>
                <c:pt idx="0">
                  <c:v>248208</c:v>
                </c:pt>
                <c:pt idx="1">
                  <c:v>3201575</c:v>
                </c:pt>
                <c:pt idx="2">
                  <c:v>4692556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69046416"/>
        <c:axId val="269178960"/>
      </c:scatterChart>
      <c:valAx>
        <c:axId val="2690464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269178960"/>
        <c:crosses val="autoZero"/>
        <c:crossBetween val="midCat"/>
      </c:valAx>
      <c:valAx>
        <c:axId val="269178960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26904641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  <c:extLst>
      <c:ext uri="{0b15fc19-7d7d-44ad-8c2d-2c3a37ce22c3}">
        <chartProps xmlns="https://web.wps.cn/et/2018/main" chartId="{c1378e2b-d3f7-4431-bd7e-7bd0071fd86a}"/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zh-CN"/>
      </a:pPr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delete val="1"/>
          </c:dLbls>
          <c:errBars>
            <c:errBarType val="both"/>
            <c:errValType val="cust"/>
            <c:noEndCap val="0"/>
            <c:plus>
              <c:numRef>
                <c:f>NH4Cl!$R$77:$R$82</c:f>
                <c:numCache>
                  <c:formatCode>General</c:formatCode>
                  <c:ptCount val="6"/>
                  <c:pt idx="0">
                    <c:v>0.269957878468234</c:v>
                  </c:pt>
                  <c:pt idx="1">
                    <c:v>0.295342994460314</c:v>
                  </c:pt>
                  <c:pt idx="2">
                    <c:v>0.135967054427694</c:v>
                  </c:pt>
                  <c:pt idx="3">
                    <c:v>0.278557051107116</c:v>
                  </c:pt>
                  <c:pt idx="4">
                    <c:v>0.0944768739746637</c:v>
                  </c:pt>
                  <c:pt idx="5">
                    <c:v>1.69504880956474</c:v>
                  </c:pt>
                </c:numCache>
              </c:numRef>
            </c:plus>
            <c:minus>
              <c:numRef>
                <c:f>NH4Cl!$R$77:$R$82</c:f>
                <c:numCache>
                  <c:formatCode>General</c:formatCode>
                  <c:ptCount val="6"/>
                  <c:pt idx="0">
                    <c:v>0.269957878468234</c:v>
                  </c:pt>
                  <c:pt idx="1">
                    <c:v>0.295342994460314</c:v>
                  </c:pt>
                  <c:pt idx="2">
                    <c:v>0.135967054427694</c:v>
                  </c:pt>
                  <c:pt idx="3">
                    <c:v>0.278557051107116</c:v>
                  </c:pt>
                  <c:pt idx="4">
                    <c:v>0.0944768739746637</c:v>
                  </c:pt>
                  <c:pt idx="5">
                    <c:v>1.69504880956474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NH4Cl!$P$77:$P$82</c:f>
              <c:strCache>
                <c:ptCount val="6"/>
                <c:pt idx="0">
                  <c:v>B 発酵前</c:v>
                </c:pt>
                <c:pt idx="1">
                  <c:v>B 発酵後</c:v>
                </c:pt>
                <c:pt idx="2">
                  <c:v>N 発酵前</c:v>
                </c:pt>
                <c:pt idx="3">
                  <c:v>N 発酵後</c:v>
                </c:pt>
                <c:pt idx="4">
                  <c:v>G 発酵前</c:v>
                </c:pt>
                <c:pt idx="5">
                  <c:v>G 発酵後</c:v>
                </c:pt>
              </c:strCache>
            </c:strRef>
          </c:cat>
          <c:val>
            <c:numRef>
              <c:f>NH4Cl!$Q$77:$Q$82</c:f>
              <c:numCache>
                <c:formatCode>General</c:formatCode>
                <c:ptCount val="6"/>
                <c:pt idx="0">
                  <c:v>4.40171665473343</c:v>
                </c:pt>
                <c:pt idx="1">
                  <c:v>4.66261366523161</c:v>
                </c:pt>
                <c:pt idx="2">
                  <c:v>4.64303386953989</c:v>
                </c:pt>
                <c:pt idx="3">
                  <c:v>6.48497590578846</c:v>
                </c:pt>
                <c:pt idx="4">
                  <c:v>27.261004470333</c:v>
                </c:pt>
                <c:pt idx="5">
                  <c:v>34.4635569995555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69181200"/>
        <c:axId val="269181760"/>
      </c:barChart>
      <c:catAx>
        <c:axId val="2691812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269181760"/>
        <c:crosses val="autoZero"/>
        <c:auto val="1"/>
        <c:lblAlgn val="ctr"/>
        <c:lblOffset val="100"/>
        <c:noMultiLvlLbl val="0"/>
      </c:catAx>
      <c:valAx>
        <c:axId val="269181760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26918120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  <c:extLst>
      <c:ext uri="{0b15fc19-7d7d-44ad-8c2d-2c3a37ce22c3}">
        <chartProps xmlns="https://web.wps.cn/et/2018/main" chartId="{50256fe7-ef3b-4ec2-b477-e473c3b78a28}"/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zh-CN"/>
      </a:pPr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C00000"/>
              </a:solidFill>
              <a:ln w="9525">
                <a:noFill/>
              </a:ln>
              <a:effectLst/>
            </c:spPr>
          </c:marker>
          <c:dLbls>
            <c:delete val="1"/>
          </c:dLbls>
          <c:errBars>
            <c:errDir val="y"/>
            <c:errBarType val="both"/>
            <c:errValType val="cust"/>
            <c:noEndCap val="0"/>
            <c:plus>
              <c:numRef>
                <c:f>Sheet2!$D$4:$D$16</c:f>
                <c:numCache>
                  <c:formatCode>General</c:formatCode>
                  <c:ptCount val="13"/>
                  <c:pt idx="0">
                    <c:v>0.114790878545589</c:v>
                  </c:pt>
                  <c:pt idx="1">
                    <c:v>0.252236294974785</c:v>
                  </c:pt>
                  <c:pt idx="2">
                    <c:v>0.175875191231682</c:v>
                  </c:pt>
                  <c:pt idx="3">
                    <c:v>0.626038088481913</c:v>
                  </c:pt>
                  <c:pt idx="4">
                    <c:v>2.42251432921659</c:v>
                  </c:pt>
                  <c:pt idx="5">
                    <c:v>0.413255038599483</c:v>
                  </c:pt>
                  <c:pt idx="6">
                    <c:v>1.07519932542047</c:v>
                  </c:pt>
                  <c:pt idx="7">
                    <c:v>1.04275549548542</c:v>
                  </c:pt>
                  <c:pt idx="8">
                    <c:v>0.879633787085974</c:v>
                  </c:pt>
                  <c:pt idx="9">
                    <c:v>1.84735808107854</c:v>
                  </c:pt>
                  <c:pt idx="10">
                    <c:v>0.488762437918142</c:v>
                  </c:pt>
                  <c:pt idx="11">
                    <c:v>0.23517771212844</c:v>
                  </c:pt>
                  <c:pt idx="12">
                    <c:v>0.821323422658626</c:v>
                  </c:pt>
                </c:numCache>
              </c:numRef>
            </c:plus>
            <c:minus>
              <c:numRef>
                <c:f>Sheet2!$D$4:$D$16</c:f>
                <c:numCache>
                  <c:formatCode>General</c:formatCode>
                  <c:ptCount val="13"/>
                  <c:pt idx="0">
                    <c:v>0.114790878545589</c:v>
                  </c:pt>
                  <c:pt idx="1">
                    <c:v>0.252236294974785</c:v>
                  </c:pt>
                  <c:pt idx="2">
                    <c:v>0.175875191231682</c:v>
                  </c:pt>
                  <c:pt idx="3">
                    <c:v>0.626038088481913</c:v>
                  </c:pt>
                  <c:pt idx="4">
                    <c:v>2.42251432921659</c:v>
                  </c:pt>
                  <c:pt idx="5">
                    <c:v>0.413255038599483</c:v>
                  </c:pt>
                  <c:pt idx="6">
                    <c:v>1.07519932542047</c:v>
                  </c:pt>
                  <c:pt idx="7">
                    <c:v>1.04275549548542</c:v>
                  </c:pt>
                  <c:pt idx="8">
                    <c:v>0.879633787085974</c:v>
                  </c:pt>
                  <c:pt idx="9">
                    <c:v>1.84735808107854</c:v>
                  </c:pt>
                  <c:pt idx="10">
                    <c:v>0.488762437918142</c:v>
                  </c:pt>
                  <c:pt idx="11">
                    <c:v>0.23517771212844</c:v>
                  </c:pt>
                  <c:pt idx="12">
                    <c:v>0.821323422658626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Sheet2!$B$4:$B$16</c:f>
              <c:numCache>
                <c:formatCode>General</c:formatCode>
                <c:ptCount val="13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60</c:v>
                </c:pt>
                <c:pt idx="11">
                  <c:v>70</c:v>
                </c:pt>
                <c:pt idx="12">
                  <c:v>80</c:v>
                </c:pt>
              </c:numCache>
            </c:numRef>
          </c:xVal>
          <c:yVal>
            <c:numRef>
              <c:f>Sheet2!$C$4:$C$16</c:f>
              <c:numCache>
                <c:formatCode>General</c:formatCode>
                <c:ptCount val="13"/>
                <c:pt idx="0">
                  <c:v>4.74415843264093</c:v>
                </c:pt>
                <c:pt idx="1">
                  <c:v>4.92282788258976</c:v>
                </c:pt>
                <c:pt idx="2">
                  <c:v>4.9573207673391</c:v>
                </c:pt>
                <c:pt idx="3">
                  <c:v>31.6435851749908</c:v>
                </c:pt>
                <c:pt idx="4">
                  <c:v>33.5265241121324</c:v>
                </c:pt>
                <c:pt idx="5">
                  <c:v>33.9462435540554</c:v>
                </c:pt>
                <c:pt idx="6">
                  <c:v>37.1317754483676</c:v>
                </c:pt>
                <c:pt idx="7">
                  <c:v>41.4003799818172</c:v>
                </c:pt>
                <c:pt idx="8">
                  <c:v>42.4057953463909</c:v>
                </c:pt>
                <c:pt idx="9">
                  <c:v>38.8752514067154</c:v>
                </c:pt>
                <c:pt idx="10">
                  <c:v>38.7543441519203</c:v>
                </c:pt>
                <c:pt idx="11">
                  <c:v>37.1618769520352</c:v>
                </c:pt>
                <c:pt idx="12">
                  <c:v>36.0409426613772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69184000"/>
        <c:axId val="269184560"/>
      </c:scatterChart>
      <c:valAx>
        <c:axId val="26918400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lang="zh-CN"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ja-JP"/>
                  <a:t>Time(min)</a:t>
                </a:r>
                <a:endParaRPr lang="ja-JP" altLang="en-US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269184560"/>
        <c:crosses val="autoZero"/>
        <c:crossBetween val="midCat"/>
      </c:valAx>
      <c:valAx>
        <c:axId val="269184560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lang="zh-CN"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ja-JP"/>
                  <a:t>GABA(mg/100g)</a:t>
                </a:r>
                <a:endParaRPr lang="ja-JP" altLang="en-US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26918400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  <c:extLst>
      <c:ext uri="{0b15fc19-7d7d-44ad-8c2d-2c3a37ce22c3}">
        <chartProps xmlns="https://web.wps.cn/et/2018/main" chartId="{6bdd4cf6-8d04-40ae-a687-d208bce35b9b}"/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zh-CN"/>
      </a:pPr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4" Type="http://schemas.openxmlformats.org/officeDocument/2006/relationships/chart" Target="../charts/chart8.xml"/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4.xml.rels><?xml version="1.0" encoding="UTF-8" standalone="yes"?>
<Relationships xmlns="http://schemas.openxmlformats.org/package/2006/relationships"><Relationship Id="rId9" Type="http://schemas.openxmlformats.org/officeDocument/2006/relationships/chart" Target="../charts/chart17.xml"/><Relationship Id="rId8" Type="http://schemas.openxmlformats.org/officeDocument/2006/relationships/chart" Target="../charts/chart16.xml"/><Relationship Id="rId7" Type="http://schemas.openxmlformats.org/officeDocument/2006/relationships/chart" Target="../charts/chart15.xml"/><Relationship Id="rId6" Type="http://schemas.openxmlformats.org/officeDocument/2006/relationships/chart" Target="../charts/chart14.xml"/><Relationship Id="rId5" Type="http://schemas.openxmlformats.org/officeDocument/2006/relationships/chart" Target="../charts/chart13.xml"/><Relationship Id="rId4" Type="http://schemas.openxmlformats.org/officeDocument/2006/relationships/chart" Target="../charts/chart12.xml"/><Relationship Id="rId3" Type="http://schemas.openxmlformats.org/officeDocument/2006/relationships/chart" Target="../charts/chart11.xml"/><Relationship Id="rId2" Type="http://schemas.openxmlformats.org/officeDocument/2006/relationships/chart" Target="../charts/chart10.xml"/><Relationship Id="rId15" Type="http://schemas.openxmlformats.org/officeDocument/2006/relationships/chart" Target="../charts/chart23.xml"/><Relationship Id="rId14" Type="http://schemas.openxmlformats.org/officeDocument/2006/relationships/chart" Target="../charts/chart22.xml"/><Relationship Id="rId13" Type="http://schemas.openxmlformats.org/officeDocument/2006/relationships/chart" Target="../charts/chart21.xml"/><Relationship Id="rId12" Type="http://schemas.openxmlformats.org/officeDocument/2006/relationships/chart" Target="../charts/chart20.xml"/><Relationship Id="rId11" Type="http://schemas.openxmlformats.org/officeDocument/2006/relationships/chart" Target="../charts/chart19.xml"/><Relationship Id="rId10" Type="http://schemas.openxmlformats.org/officeDocument/2006/relationships/chart" Target="../charts/chart18.xml"/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0</xdr:col>
      <xdr:colOff>623887</xdr:colOff>
      <xdr:row>10</xdr:row>
      <xdr:rowOff>9525</xdr:rowOff>
    </xdr:from>
    <xdr:to>
      <xdr:col>6</xdr:col>
      <xdr:colOff>409575</xdr:colOff>
      <xdr:row>24</xdr:row>
      <xdr:rowOff>19050</xdr:rowOff>
    </xdr:to>
    <xdr:graphicFrame>
      <xdr:nvGraphicFramePr>
        <xdr:cNvPr id="3" name="グラフ 2"/>
        <xdr:cNvGraphicFramePr/>
      </xdr:nvGraphicFramePr>
      <xdr:xfrm>
        <a:off x="623570" y="1724025"/>
        <a:ext cx="3900805" cy="2409825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0</xdr:col>
      <xdr:colOff>228600</xdr:colOff>
      <xdr:row>3</xdr:row>
      <xdr:rowOff>38100</xdr:rowOff>
    </xdr:from>
    <xdr:to>
      <xdr:col>5</xdr:col>
      <xdr:colOff>247650</xdr:colOff>
      <xdr:row>18</xdr:row>
      <xdr:rowOff>161925</xdr:rowOff>
    </xdr:to>
    <xdr:graphicFrame>
      <xdr:nvGraphicFramePr>
        <xdr:cNvPr id="2" name="グラフ 1"/>
        <xdr:cNvGraphicFramePr/>
      </xdr:nvGraphicFramePr>
      <xdr:xfrm>
        <a:off x="228600" y="552450"/>
        <a:ext cx="3448050" cy="2695575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209550</xdr:colOff>
      <xdr:row>22</xdr:row>
      <xdr:rowOff>19050</xdr:rowOff>
    </xdr:from>
    <xdr:to>
      <xdr:col>5</xdr:col>
      <xdr:colOff>228600</xdr:colOff>
      <xdr:row>37</xdr:row>
      <xdr:rowOff>142875</xdr:rowOff>
    </xdr:to>
    <xdr:graphicFrame>
      <xdr:nvGraphicFramePr>
        <xdr:cNvPr id="4" name="グラフ 3"/>
        <xdr:cNvGraphicFramePr/>
      </xdr:nvGraphicFramePr>
      <xdr:xfrm>
        <a:off x="209550" y="3790950"/>
        <a:ext cx="3448050" cy="2695575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200025</xdr:colOff>
      <xdr:row>42</xdr:row>
      <xdr:rowOff>95250</xdr:rowOff>
    </xdr:from>
    <xdr:to>
      <xdr:col>5</xdr:col>
      <xdr:colOff>219075</xdr:colOff>
      <xdr:row>58</xdr:row>
      <xdr:rowOff>47625</xdr:rowOff>
    </xdr:to>
    <xdr:graphicFrame>
      <xdr:nvGraphicFramePr>
        <xdr:cNvPr id="6" name="グラフ 5"/>
        <xdr:cNvGraphicFramePr/>
      </xdr:nvGraphicFramePr>
      <xdr:xfrm>
        <a:off x="200025" y="7296150"/>
        <a:ext cx="3448050" cy="2695575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0</xdr:col>
      <xdr:colOff>180975</xdr:colOff>
      <xdr:row>5</xdr:row>
      <xdr:rowOff>114300</xdr:rowOff>
    </xdr:from>
    <xdr:to>
      <xdr:col>5</xdr:col>
      <xdr:colOff>457200</xdr:colOff>
      <xdr:row>20</xdr:row>
      <xdr:rowOff>47625</xdr:rowOff>
    </xdr:to>
    <xdr:graphicFrame>
      <xdr:nvGraphicFramePr>
        <xdr:cNvPr id="3" name="グラフ 2"/>
        <xdr:cNvGraphicFramePr/>
      </xdr:nvGraphicFramePr>
      <xdr:xfrm>
        <a:off x="180975" y="971550"/>
        <a:ext cx="3705225" cy="2505075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29</xdr:row>
      <xdr:rowOff>0</xdr:rowOff>
    </xdr:from>
    <xdr:to>
      <xdr:col>5</xdr:col>
      <xdr:colOff>276225</xdr:colOff>
      <xdr:row>43</xdr:row>
      <xdr:rowOff>104775</xdr:rowOff>
    </xdr:to>
    <xdr:graphicFrame>
      <xdr:nvGraphicFramePr>
        <xdr:cNvPr id="6" name="グラフ 5"/>
        <xdr:cNvGraphicFramePr/>
      </xdr:nvGraphicFramePr>
      <xdr:xfrm>
        <a:off x="0" y="4972050"/>
        <a:ext cx="3705225" cy="2505075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0</xdr:colOff>
      <xdr:row>51</xdr:row>
      <xdr:rowOff>0</xdr:rowOff>
    </xdr:from>
    <xdr:to>
      <xdr:col>6</xdr:col>
      <xdr:colOff>276225</xdr:colOff>
      <xdr:row>65</xdr:row>
      <xdr:rowOff>104775</xdr:rowOff>
    </xdr:to>
    <xdr:graphicFrame>
      <xdr:nvGraphicFramePr>
        <xdr:cNvPr id="7" name="グラフ 6"/>
        <xdr:cNvGraphicFramePr/>
      </xdr:nvGraphicFramePr>
      <xdr:xfrm>
        <a:off x="685800" y="8743950"/>
        <a:ext cx="3705225" cy="2505075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14</xdr:col>
      <xdr:colOff>666749</xdr:colOff>
      <xdr:row>59</xdr:row>
      <xdr:rowOff>161924</xdr:rowOff>
    </xdr:from>
    <xdr:to>
      <xdr:col>20</xdr:col>
      <xdr:colOff>485774</xdr:colOff>
      <xdr:row>74</xdr:row>
      <xdr:rowOff>95249</xdr:rowOff>
    </xdr:to>
    <xdr:graphicFrame>
      <xdr:nvGraphicFramePr>
        <xdr:cNvPr id="2" name="グラフ 1"/>
        <xdr:cNvGraphicFramePr/>
      </xdr:nvGraphicFramePr>
      <xdr:xfrm>
        <a:off x="10305415" y="10276840"/>
        <a:ext cx="3933825" cy="2505075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8</xdr:col>
      <xdr:colOff>247650</xdr:colOff>
      <xdr:row>2</xdr:row>
      <xdr:rowOff>38100</xdr:rowOff>
    </xdr:from>
    <xdr:to>
      <xdr:col>15</xdr:col>
      <xdr:colOff>19050</xdr:colOff>
      <xdr:row>18</xdr:row>
      <xdr:rowOff>38100</xdr:rowOff>
    </xdr:to>
    <xdr:graphicFrame>
      <xdr:nvGraphicFramePr>
        <xdr:cNvPr id="8" name="グラフ 7"/>
        <xdr:cNvGraphicFramePr/>
      </xdr:nvGraphicFramePr>
      <xdr:xfrm>
        <a:off x="6305550" y="381000"/>
        <a:ext cx="4572000" cy="274320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15</xdr:col>
      <xdr:colOff>95250</xdr:colOff>
      <xdr:row>2</xdr:row>
      <xdr:rowOff>19050</xdr:rowOff>
    </xdr:from>
    <xdr:to>
      <xdr:col>21</xdr:col>
      <xdr:colOff>552450</xdr:colOff>
      <xdr:row>18</xdr:row>
      <xdr:rowOff>19050</xdr:rowOff>
    </xdr:to>
    <xdr:graphicFrame>
      <xdr:nvGraphicFramePr>
        <xdr:cNvPr id="9" name="グラフ 8"/>
        <xdr:cNvGraphicFramePr/>
      </xdr:nvGraphicFramePr>
      <xdr:xfrm>
        <a:off x="10953750" y="361950"/>
        <a:ext cx="4572000" cy="274320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266700</xdr:colOff>
      <xdr:row>19</xdr:row>
      <xdr:rowOff>28575</xdr:rowOff>
    </xdr:from>
    <xdr:to>
      <xdr:col>15</xdr:col>
      <xdr:colOff>38100</xdr:colOff>
      <xdr:row>35</xdr:row>
      <xdr:rowOff>28575</xdr:rowOff>
    </xdr:to>
    <xdr:graphicFrame>
      <xdr:nvGraphicFramePr>
        <xdr:cNvPr id="17" name="グラフ 16"/>
        <xdr:cNvGraphicFramePr/>
      </xdr:nvGraphicFramePr>
      <xdr:xfrm>
        <a:off x="6324600" y="3286125"/>
        <a:ext cx="4572000" cy="274320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15</xdr:col>
      <xdr:colOff>228600</xdr:colOff>
      <xdr:row>19</xdr:row>
      <xdr:rowOff>47625</xdr:rowOff>
    </xdr:from>
    <xdr:to>
      <xdr:col>22</xdr:col>
      <xdr:colOff>0</xdr:colOff>
      <xdr:row>35</xdr:row>
      <xdr:rowOff>47625</xdr:rowOff>
    </xdr:to>
    <xdr:graphicFrame>
      <xdr:nvGraphicFramePr>
        <xdr:cNvPr id="18" name="グラフ 17"/>
        <xdr:cNvGraphicFramePr/>
      </xdr:nvGraphicFramePr>
      <xdr:xfrm>
        <a:off x="11087100" y="3305175"/>
        <a:ext cx="4572000" cy="274320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8</xdr:col>
      <xdr:colOff>266700</xdr:colOff>
      <xdr:row>36</xdr:row>
      <xdr:rowOff>47625</xdr:rowOff>
    </xdr:from>
    <xdr:to>
      <xdr:col>15</xdr:col>
      <xdr:colOff>38100</xdr:colOff>
      <xdr:row>52</xdr:row>
      <xdr:rowOff>47625</xdr:rowOff>
    </xdr:to>
    <xdr:graphicFrame>
      <xdr:nvGraphicFramePr>
        <xdr:cNvPr id="19" name="グラフ 18"/>
        <xdr:cNvGraphicFramePr/>
      </xdr:nvGraphicFramePr>
      <xdr:xfrm>
        <a:off x="6324600" y="6219825"/>
        <a:ext cx="4572000" cy="274320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15</xdr:col>
      <xdr:colOff>190500</xdr:colOff>
      <xdr:row>36</xdr:row>
      <xdr:rowOff>76200</xdr:rowOff>
    </xdr:from>
    <xdr:to>
      <xdr:col>21</xdr:col>
      <xdr:colOff>647700</xdr:colOff>
      <xdr:row>52</xdr:row>
      <xdr:rowOff>76200</xdr:rowOff>
    </xdr:to>
    <xdr:graphicFrame>
      <xdr:nvGraphicFramePr>
        <xdr:cNvPr id="20" name="グラフ 19"/>
        <xdr:cNvGraphicFramePr/>
      </xdr:nvGraphicFramePr>
      <xdr:xfrm>
        <a:off x="11049000" y="6248400"/>
        <a:ext cx="4572000" cy="274320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22</xdr:col>
      <xdr:colOff>114300</xdr:colOff>
      <xdr:row>2</xdr:row>
      <xdr:rowOff>28575</xdr:rowOff>
    </xdr:from>
    <xdr:to>
      <xdr:col>28</xdr:col>
      <xdr:colOff>571500</xdr:colOff>
      <xdr:row>18</xdr:row>
      <xdr:rowOff>28575</xdr:rowOff>
    </xdr:to>
    <xdr:graphicFrame>
      <xdr:nvGraphicFramePr>
        <xdr:cNvPr id="21" name="グラフ 20"/>
        <xdr:cNvGraphicFramePr/>
      </xdr:nvGraphicFramePr>
      <xdr:xfrm>
        <a:off x="15773400" y="371475"/>
        <a:ext cx="4572000" cy="274320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22</xdr:col>
      <xdr:colOff>161925</xdr:colOff>
      <xdr:row>19</xdr:row>
      <xdr:rowOff>47625</xdr:rowOff>
    </xdr:from>
    <xdr:to>
      <xdr:col>28</xdr:col>
      <xdr:colOff>657225</xdr:colOff>
      <xdr:row>35</xdr:row>
      <xdr:rowOff>47625</xdr:rowOff>
    </xdr:to>
    <xdr:graphicFrame>
      <xdr:nvGraphicFramePr>
        <xdr:cNvPr id="22" name="グラフ 21"/>
        <xdr:cNvGraphicFramePr/>
      </xdr:nvGraphicFramePr>
      <xdr:xfrm>
        <a:off x="15821025" y="3305175"/>
        <a:ext cx="4610100" cy="274320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8</xdr:col>
      <xdr:colOff>485775</xdr:colOff>
      <xdr:row>48</xdr:row>
      <xdr:rowOff>28575</xdr:rowOff>
    </xdr:from>
    <xdr:to>
      <xdr:col>15</xdr:col>
      <xdr:colOff>257175</xdr:colOff>
      <xdr:row>64</xdr:row>
      <xdr:rowOff>28575</xdr:rowOff>
    </xdr:to>
    <xdr:graphicFrame>
      <xdr:nvGraphicFramePr>
        <xdr:cNvPr id="2" name="グラフ 1"/>
        <xdr:cNvGraphicFramePr/>
      </xdr:nvGraphicFramePr>
      <xdr:xfrm>
        <a:off x="6543675" y="8258175"/>
        <a:ext cx="4572000" cy="274320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15</xdr:col>
      <xdr:colOff>600075</xdr:colOff>
      <xdr:row>54</xdr:row>
      <xdr:rowOff>133350</xdr:rowOff>
    </xdr:from>
    <xdr:to>
      <xdr:col>22</xdr:col>
      <xdr:colOff>371475</xdr:colOff>
      <xdr:row>70</xdr:row>
      <xdr:rowOff>133350</xdr:rowOff>
    </xdr:to>
    <xdr:graphicFrame>
      <xdr:nvGraphicFramePr>
        <xdr:cNvPr id="11" name="グラフ 10"/>
        <xdr:cNvGraphicFramePr/>
      </xdr:nvGraphicFramePr>
      <xdr:xfrm>
        <a:off x="11458575" y="9391650"/>
        <a:ext cx="4572000" cy="274320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22</xdr:col>
      <xdr:colOff>495300</xdr:colOff>
      <xdr:row>54</xdr:row>
      <xdr:rowOff>95250</xdr:rowOff>
    </xdr:from>
    <xdr:to>
      <xdr:col>29</xdr:col>
      <xdr:colOff>266700</xdr:colOff>
      <xdr:row>70</xdr:row>
      <xdr:rowOff>95250</xdr:rowOff>
    </xdr:to>
    <xdr:graphicFrame>
      <xdr:nvGraphicFramePr>
        <xdr:cNvPr id="12" name="グラフ 11"/>
        <xdr:cNvGraphicFramePr/>
      </xdr:nvGraphicFramePr>
      <xdr:xfrm>
        <a:off x="16154400" y="9353550"/>
        <a:ext cx="4572000" cy="274320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22</xdr:col>
      <xdr:colOff>104774</xdr:colOff>
      <xdr:row>36</xdr:row>
      <xdr:rowOff>38100</xdr:rowOff>
    </xdr:from>
    <xdr:to>
      <xdr:col>28</xdr:col>
      <xdr:colOff>628649</xdr:colOff>
      <xdr:row>53</xdr:row>
      <xdr:rowOff>57150</xdr:rowOff>
    </xdr:to>
    <xdr:graphicFrame>
      <xdr:nvGraphicFramePr>
        <xdr:cNvPr id="13" name="グラフ 12"/>
        <xdr:cNvGraphicFramePr/>
      </xdr:nvGraphicFramePr>
      <xdr:xfrm>
        <a:off x="15763240" y="6210300"/>
        <a:ext cx="4638675" cy="293370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29</xdr:col>
      <xdr:colOff>133349</xdr:colOff>
      <xdr:row>36</xdr:row>
      <xdr:rowOff>76199</xdr:rowOff>
    </xdr:from>
    <xdr:to>
      <xdr:col>35</xdr:col>
      <xdr:colOff>638174</xdr:colOff>
      <xdr:row>53</xdr:row>
      <xdr:rowOff>142874</xdr:rowOff>
    </xdr:to>
    <xdr:graphicFrame>
      <xdr:nvGraphicFramePr>
        <xdr:cNvPr id="14" name="グラフ 13"/>
        <xdr:cNvGraphicFramePr/>
      </xdr:nvGraphicFramePr>
      <xdr:xfrm>
        <a:off x="20592415" y="6247765"/>
        <a:ext cx="4619625" cy="2981325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8</xdr:col>
      <xdr:colOff>95250</xdr:colOff>
      <xdr:row>62</xdr:row>
      <xdr:rowOff>57150</xdr:rowOff>
    </xdr:from>
    <xdr:to>
      <xdr:col>14</xdr:col>
      <xdr:colOff>619125</xdr:colOff>
      <xdr:row>79</xdr:row>
      <xdr:rowOff>76200</xdr:rowOff>
    </xdr:to>
    <xdr:graphicFrame>
      <xdr:nvGraphicFramePr>
        <xdr:cNvPr id="15" name="グラフ 14"/>
        <xdr:cNvGraphicFramePr/>
      </xdr:nvGraphicFramePr>
      <xdr:xfrm>
        <a:off x="6153150" y="10687050"/>
        <a:ext cx="4638675" cy="293370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8</xdr:col>
      <xdr:colOff>66675</xdr:colOff>
      <xdr:row>79</xdr:row>
      <xdr:rowOff>47625</xdr:rowOff>
    </xdr:from>
    <xdr:to>
      <xdr:col>14</xdr:col>
      <xdr:colOff>523875</xdr:colOff>
      <xdr:row>95</xdr:row>
      <xdr:rowOff>47625</xdr:rowOff>
    </xdr:to>
    <xdr:graphicFrame>
      <xdr:nvGraphicFramePr>
        <xdr:cNvPr id="3" name="グラフ 2"/>
        <xdr:cNvGraphicFramePr/>
      </xdr:nvGraphicFramePr>
      <xdr:xfrm>
        <a:off x="6124575" y="13592175"/>
        <a:ext cx="4572000" cy="274320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2:P67"/>
  <sheetViews>
    <sheetView topLeftCell="A34" workbookViewId="0">
      <selection activeCell="J4" sqref="J4:N67"/>
    </sheetView>
  </sheetViews>
  <sheetFormatPr defaultColWidth="9" defaultRowHeight="13.5"/>
  <cols>
    <col min="11" max="11" width="9.5" customWidth="1"/>
  </cols>
  <sheetData>
    <row r="2" spans="2:2">
      <c r="B2" s="3">
        <v>42570</v>
      </c>
    </row>
    <row r="4" spans="2:16">
      <c r="B4">
        <v>10</v>
      </c>
      <c r="C4">
        <v>250604</v>
      </c>
      <c r="D4">
        <v>250604</v>
      </c>
      <c r="E4">
        <f t="shared" ref="E4:E9" si="0">(D4+176903)/49636</f>
        <v>8.61284148601821</v>
      </c>
      <c r="I4" t="s">
        <v>0</v>
      </c>
      <c r="J4" t="s">
        <v>1</v>
      </c>
      <c r="K4" t="s">
        <v>2</v>
      </c>
      <c r="L4" t="s">
        <v>3</v>
      </c>
      <c r="M4" t="s">
        <v>4</v>
      </c>
      <c r="O4" t="s">
        <v>5</v>
      </c>
      <c r="P4" t="s">
        <v>6</v>
      </c>
    </row>
    <row r="5" spans="2:16">
      <c r="B5">
        <v>10</v>
      </c>
      <c r="C5">
        <v>260078</v>
      </c>
      <c r="D5">
        <v>260078</v>
      </c>
      <c r="E5">
        <f t="shared" si="0"/>
        <v>8.80371101619792</v>
      </c>
      <c r="I5">
        <v>1</v>
      </c>
      <c r="J5" t="s">
        <v>7</v>
      </c>
      <c r="K5">
        <v>2132988</v>
      </c>
      <c r="L5">
        <f>(K5+176903)/49636</f>
        <v>46.5366064952857</v>
      </c>
      <c r="M5">
        <f>L5*I5</f>
        <v>46.5366064952857</v>
      </c>
      <c r="N5">
        <f>M5*2.0624/10/2.0017</f>
        <v>4.79477929938938</v>
      </c>
      <c r="O5">
        <f>AVERAGE(N5:N7)</f>
        <v>4.74415843264093</v>
      </c>
      <c r="P5">
        <f>_xlfn.STDEV.S(N5:N7)</f>
        <v>0.114790878545589</v>
      </c>
    </row>
    <row r="6" spans="2:14">
      <c r="B6">
        <v>50</v>
      </c>
      <c r="C6">
        <v>2468299</v>
      </c>
      <c r="D6">
        <v>2468299</v>
      </c>
      <c r="E6">
        <f t="shared" si="0"/>
        <v>53.2920058022403</v>
      </c>
      <c r="I6">
        <v>1</v>
      </c>
      <c r="J6" t="s">
        <v>8</v>
      </c>
      <c r="K6">
        <v>2147517</v>
      </c>
      <c r="L6">
        <f t="shared" ref="L6:L45" si="1">(K6+176903)/49636</f>
        <v>46.8293174308969</v>
      </c>
      <c r="M6">
        <f t="shared" ref="M6:M45" si="2">L6*I6</f>
        <v>46.8293174308969</v>
      </c>
      <c r="N6">
        <f>M6*2.0624/10/2.0017</f>
        <v>4.82493801616035</v>
      </c>
    </row>
    <row r="7" spans="2:14">
      <c r="B7">
        <v>50</v>
      </c>
      <c r="C7">
        <v>2372360</v>
      </c>
      <c r="D7">
        <v>2372360</v>
      </c>
      <c r="E7">
        <f t="shared" si="0"/>
        <v>51.3591546458216</v>
      </c>
      <c r="I7">
        <v>1</v>
      </c>
      <c r="J7" t="s">
        <v>9</v>
      </c>
      <c r="K7">
        <v>2045299</v>
      </c>
      <c r="L7">
        <f t="shared" si="1"/>
        <v>44.7699653477315</v>
      </c>
      <c r="M7">
        <f t="shared" si="2"/>
        <v>44.7699653477315</v>
      </c>
      <c r="N7">
        <f>M7*2.0624/10/2.0017</f>
        <v>4.61275798237305</v>
      </c>
    </row>
    <row r="8" spans="2:16">
      <c r="B8">
        <v>100</v>
      </c>
      <c r="C8">
        <v>4661973</v>
      </c>
      <c r="D8">
        <v>4661973</v>
      </c>
      <c r="E8">
        <f t="shared" si="0"/>
        <v>97.4872270126521</v>
      </c>
      <c r="I8">
        <v>1</v>
      </c>
      <c r="J8" t="s">
        <v>10</v>
      </c>
      <c r="K8">
        <v>2125119</v>
      </c>
      <c r="L8">
        <f t="shared" si="1"/>
        <v>46.3780723668305</v>
      </c>
      <c r="M8">
        <f t="shared" si="2"/>
        <v>46.3780723668305</v>
      </c>
      <c r="N8">
        <f>M8*2.0624/10/2.0066</f>
        <v>4.76677646014907</v>
      </c>
      <c r="O8">
        <f>AVERAGE(N8:N10)</f>
        <v>4.92282788258976</v>
      </c>
      <c r="P8">
        <f>_xlfn.STDEV.S(N8:N10)</f>
        <v>0.252236294974785</v>
      </c>
    </row>
    <row r="9" spans="2:14">
      <c r="B9">
        <v>100</v>
      </c>
      <c r="C9">
        <v>4808899</v>
      </c>
      <c r="D9">
        <v>4808899</v>
      </c>
      <c r="E9">
        <f t="shared" si="0"/>
        <v>100.447296317189</v>
      </c>
      <c r="I9">
        <v>1</v>
      </c>
      <c r="J9" t="s">
        <v>11</v>
      </c>
      <c r="K9">
        <v>2135309</v>
      </c>
      <c r="L9">
        <f t="shared" si="1"/>
        <v>46.5833669111129</v>
      </c>
      <c r="M9">
        <f t="shared" si="2"/>
        <v>46.5833669111129</v>
      </c>
      <c r="N9">
        <f>M9*2.0624/10/2.0066</f>
        <v>4.78787680242596</v>
      </c>
    </row>
    <row r="10" spans="9:14">
      <c r="I10">
        <v>1</v>
      </c>
      <c r="J10" t="s">
        <v>12</v>
      </c>
      <c r="K10">
        <v>2341015</v>
      </c>
      <c r="L10">
        <f t="shared" si="1"/>
        <v>50.7276573454751</v>
      </c>
      <c r="M10">
        <f t="shared" si="2"/>
        <v>50.7276573454751</v>
      </c>
      <c r="N10">
        <f>M10*2.0624/10/2.0066</f>
        <v>5.21383038519425</v>
      </c>
    </row>
    <row r="11" spans="9:16">
      <c r="I11">
        <v>1</v>
      </c>
      <c r="J11" s="3" t="s">
        <v>13</v>
      </c>
      <c r="K11">
        <v>2204927</v>
      </c>
      <c r="L11">
        <f t="shared" si="1"/>
        <v>47.9859376259167</v>
      </c>
      <c r="M11">
        <f t="shared" si="2"/>
        <v>47.9859376259167</v>
      </c>
      <c r="N11">
        <f>M11*2.0624/10/2.0026</f>
        <v>4.94188543691654</v>
      </c>
      <c r="O11">
        <f>AVERAGE(N11:N13)</f>
        <v>4.9573207673391</v>
      </c>
      <c r="P11">
        <f>_xlfn.STDEV.S(N11:N13)</f>
        <v>0.175875191231682</v>
      </c>
    </row>
    <row r="12" spans="9:14">
      <c r="I12">
        <v>1</v>
      </c>
      <c r="J12" s="3" t="s">
        <v>14</v>
      </c>
      <c r="K12">
        <v>2300607</v>
      </c>
      <c r="L12">
        <f t="shared" si="1"/>
        <v>49.9135707953904</v>
      </c>
      <c r="M12">
        <f t="shared" si="2"/>
        <v>49.9135707953904</v>
      </c>
      <c r="N12">
        <f>M12*2.0624/10/2.0026</f>
        <v>5.14040489405839</v>
      </c>
    </row>
    <row r="13" spans="9:14">
      <c r="I13">
        <v>1</v>
      </c>
      <c r="J13" s="3" t="s">
        <v>15</v>
      </c>
      <c r="K13">
        <v>2131565</v>
      </c>
      <c r="L13">
        <f t="shared" si="1"/>
        <v>46.50793778709</v>
      </c>
      <c r="M13">
        <f t="shared" si="2"/>
        <v>46.50793778709</v>
      </c>
      <c r="N13">
        <f>M13*2.0624/10/2.0026</f>
        <v>4.78967197104237</v>
      </c>
    </row>
    <row r="14" spans="9:14">
      <c r="I14">
        <v>1</v>
      </c>
      <c r="J14" t="s">
        <v>16</v>
      </c>
      <c r="K14">
        <v>10103845</v>
      </c>
      <c r="L14">
        <f t="shared" si="1"/>
        <v>207.12281408655</v>
      </c>
      <c r="M14">
        <f t="shared" si="2"/>
        <v>207.12281408655</v>
      </c>
      <c r="N14">
        <f>M14*2.0624/10/2.004</f>
        <v>21.3158728429192</v>
      </c>
    </row>
    <row r="15" spans="9:14">
      <c r="I15">
        <v>2</v>
      </c>
      <c r="J15" t="s">
        <v>16</v>
      </c>
      <c r="K15">
        <v>6898983</v>
      </c>
      <c r="L15">
        <f t="shared" si="1"/>
        <v>142.555524216295</v>
      </c>
      <c r="M15">
        <f t="shared" si="2"/>
        <v>285.111048432589</v>
      </c>
      <c r="N15">
        <f>M15*2.0624/10/2.004</f>
        <v>29.3419673796094</v>
      </c>
    </row>
    <row r="16" spans="9:16">
      <c r="I16">
        <v>8</v>
      </c>
      <c r="J16" t="s">
        <v>16</v>
      </c>
      <c r="K16">
        <v>1737205</v>
      </c>
      <c r="L16">
        <f t="shared" si="1"/>
        <v>38.5628978966879</v>
      </c>
      <c r="M16">
        <f t="shared" si="2"/>
        <v>308.503183173503</v>
      </c>
      <c r="N16">
        <f>M16*2.0624/10/2.004</f>
        <v>31.7493495497521</v>
      </c>
      <c r="O16">
        <f>AVERAGE(N16:N18)</f>
        <v>31.6435851749908</v>
      </c>
      <c r="P16">
        <f>_xlfn.STDEV.S(N16:N18)</f>
        <v>0.626038088481913</v>
      </c>
    </row>
    <row r="17" spans="9:14">
      <c r="I17">
        <v>8</v>
      </c>
      <c r="J17" t="s">
        <v>17</v>
      </c>
      <c r="K17">
        <v>1764977</v>
      </c>
      <c r="L17">
        <f t="shared" si="1"/>
        <v>39.1224111531953</v>
      </c>
      <c r="M17">
        <f t="shared" si="2"/>
        <v>312.979289225562</v>
      </c>
      <c r="N17">
        <f>M17*2.0624/10/2.004</f>
        <v>32.2100042963473</v>
      </c>
    </row>
    <row r="18" spans="9:14">
      <c r="I18">
        <v>8</v>
      </c>
      <c r="J18" t="s">
        <v>18</v>
      </c>
      <c r="K18">
        <v>1690304</v>
      </c>
      <c r="L18">
        <f t="shared" si="1"/>
        <v>37.61799903296</v>
      </c>
      <c r="M18">
        <f t="shared" si="2"/>
        <v>300.94399226368</v>
      </c>
      <c r="N18">
        <f>M18*2.0624/10/2.004</f>
        <v>30.9714016788729</v>
      </c>
    </row>
    <row r="19" spans="9:16">
      <c r="I19">
        <v>8</v>
      </c>
      <c r="J19" t="s">
        <v>19</v>
      </c>
      <c r="K19">
        <v>1877247</v>
      </c>
      <c r="L19">
        <f t="shared" si="1"/>
        <v>41.3842775404948</v>
      </c>
      <c r="M19">
        <f t="shared" si="2"/>
        <v>331.074220323958</v>
      </c>
      <c r="N19">
        <f>M19*2.0624/10/2.0065</f>
        <v>34.0297768251249</v>
      </c>
      <c r="O19">
        <f>AVERAGE(N19:N21)</f>
        <v>33.5265241121324</v>
      </c>
      <c r="P19">
        <f>_xlfn.STDEV.S(N19:N21)</f>
        <v>2.42251432921659</v>
      </c>
    </row>
    <row r="20" spans="9:14">
      <c r="I20">
        <v>8</v>
      </c>
      <c r="J20" t="s">
        <v>20</v>
      </c>
      <c r="K20">
        <v>1975525</v>
      </c>
      <c r="L20">
        <f t="shared" si="1"/>
        <v>43.3642517527601</v>
      </c>
      <c r="M20">
        <f t="shared" si="2"/>
        <v>346.914014022081</v>
      </c>
      <c r="N20">
        <f>M20*2.0624/10/2.0065</f>
        <v>35.6578849997079</v>
      </c>
    </row>
    <row r="21" spans="9:14">
      <c r="I21">
        <v>8</v>
      </c>
      <c r="J21" t="s">
        <v>21</v>
      </c>
      <c r="K21">
        <v>1687835</v>
      </c>
      <c r="L21">
        <f t="shared" si="1"/>
        <v>37.568256910307</v>
      </c>
      <c r="M21">
        <f t="shared" si="2"/>
        <v>300.546055282456</v>
      </c>
      <c r="N21">
        <f>M21*2.0624/10/2.0065</f>
        <v>30.8919105115643</v>
      </c>
    </row>
    <row r="22" spans="9:16">
      <c r="I22">
        <v>8</v>
      </c>
      <c r="J22" t="s">
        <v>22</v>
      </c>
      <c r="K22">
        <v>1879309</v>
      </c>
      <c r="L22">
        <f t="shared" si="1"/>
        <v>41.4258199693771</v>
      </c>
      <c r="M22">
        <f t="shared" si="2"/>
        <v>331.406559755017</v>
      </c>
      <c r="N22">
        <f>M22*2.0624/10/2.003</f>
        <v>34.1234592530577</v>
      </c>
      <c r="O22">
        <f>AVERAGE(N22:N24)</f>
        <v>33.9462435540554</v>
      </c>
      <c r="P22">
        <f>_xlfn.STDEV.S(N22:N24)</f>
        <v>0.413255038599483</v>
      </c>
    </row>
    <row r="23" spans="9:14">
      <c r="I23">
        <v>8</v>
      </c>
      <c r="J23" t="s">
        <v>23</v>
      </c>
      <c r="K23">
        <v>1840170</v>
      </c>
      <c r="L23">
        <f t="shared" si="1"/>
        <v>40.637299540656</v>
      </c>
      <c r="M23">
        <f t="shared" si="2"/>
        <v>325.098396325248</v>
      </c>
      <c r="N23">
        <f>M23*2.0624/10/2.003</f>
        <v>33.4739357254713</v>
      </c>
    </row>
    <row r="24" spans="9:14">
      <c r="I24">
        <v>8</v>
      </c>
      <c r="J24" t="s">
        <v>24</v>
      </c>
      <c r="K24">
        <v>1886412</v>
      </c>
      <c r="L24">
        <f t="shared" si="1"/>
        <v>41.5689217503425</v>
      </c>
      <c r="M24">
        <f t="shared" si="2"/>
        <v>332.55137400274</v>
      </c>
      <c r="N24">
        <f>M24*2.0624/10/2.003</f>
        <v>34.2413356836371</v>
      </c>
    </row>
    <row r="25" spans="9:16">
      <c r="I25">
        <v>8</v>
      </c>
      <c r="J25" s="3" t="s">
        <v>25</v>
      </c>
      <c r="K25">
        <v>2011765</v>
      </c>
      <c r="L25">
        <f t="shared" si="1"/>
        <v>44.0943669916996</v>
      </c>
      <c r="M25">
        <f t="shared" si="2"/>
        <v>352.754935933597</v>
      </c>
      <c r="N25">
        <f>M25*2.0624/10/2.0059</f>
        <v>36.2690951627424</v>
      </c>
      <c r="O25">
        <f>AVERAGE(N25:N27)</f>
        <v>37.1317754483676</v>
      </c>
      <c r="P25">
        <f>_xlfn.STDEV.S(N25:N27)</f>
        <v>1.07519932542047</v>
      </c>
    </row>
    <row r="26" spans="9:14">
      <c r="I26">
        <v>8</v>
      </c>
      <c r="J26" s="3" t="s">
        <v>26</v>
      </c>
      <c r="K26">
        <v>2136514</v>
      </c>
      <c r="L26">
        <f t="shared" si="1"/>
        <v>46.607643645741</v>
      </c>
      <c r="M26">
        <f t="shared" si="2"/>
        <v>372.861149165928</v>
      </c>
      <c r="N26">
        <f>M26*2.0624/10/2.0059</f>
        <v>38.3363494710509</v>
      </c>
    </row>
    <row r="27" spans="9:14">
      <c r="I27">
        <v>8</v>
      </c>
      <c r="J27" s="3" t="s">
        <v>27</v>
      </c>
      <c r="K27">
        <v>2043192</v>
      </c>
      <c r="L27">
        <f t="shared" si="1"/>
        <v>44.7275163188009</v>
      </c>
      <c r="M27">
        <f t="shared" si="2"/>
        <v>357.820130550407</v>
      </c>
      <c r="N27">
        <f>M27*2.0624/10/2.0059</f>
        <v>36.7898817113096</v>
      </c>
    </row>
    <row r="28" spans="9:16">
      <c r="I28">
        <v>8</v>
      </c>
      <c r="J28" s="3" t="s">
        <v>28</v>
      </c>
      <c r="K28">
        <v>2258868</v>
      </c>
      <c r="L28">
        <f t="shared" si="1"/>
        <v>49.0726690305424</v>
      </c>
      <c r="M28">
        <f t="shared" si="2"/>
        <v>392.581352244339</v>
      </c>
      <c r="N28">
        <f>M28*2.0624/10/2.0082</f>
        <v>40.3176865286687</v>
      </c>
      <c r="O28">
        <f>AVERAGE(N28:N30)</f>
        <v>41.4003799818172</v>
      </c>
      <c r="P28">
        <f>_xlfn.STDEV.S(N28:N30)</f>
        <v>1.04275549548542</v>
      </c>
    </row>
    <row r="29" spans="9:14">
      <c r="I29">
        <v>8</v>
      </c>
      <c r="J29" s="3" t="s">
        <v>29</v>
      </c>
      <c r="K29">
        <v>2329419</v>
      </c>
      <c r="L29">
        <f t="shared" si="1"/>
        <v>50.4940365863486</v>
      </c>
      <c r="M29">
        <f t="shared" si="2"/>
        <v>403.952292690789</v>
      </c>
      <c r="N29">
        <f>M29*2.0624/10/2.0082</f>
        <v>41.4854699952934</v>
      </c>
    </row>
    <row r="30" spans="9:14">
      <c r="I30">
        <v>8</v>
      </c>
      <c r="J30" s="3" t="s">
        <v>30</v>
      </c>
      <c r="K30">
        <v>2384548</v>
      </c>
      <c r="L30">
        <f t="shared" si="1"/>
        <v>51.6047022322508</v>
      </c>
      <c r="M30">
        <f t="shared" si="2"/>
        <v>412.837617858006</v>
      </c>
      <c r="N30">
        <f>M30*2.0624/10/2.0082</f>
        <v>42.3979834214895</v>
      </c>
    </row>
    <row r="31" spans="9:16">
      <c r="I31">
        <v>8</v>
      </c>
      <c r="J31" t="s">
        <v>31</v>
      </c>
      <c r="K31">
        <v>2366126</v>
      </c>
      <c r="L31">
        <f t="shared" si="1"/>
        <v>51.2335603191232</v>
      </c>
      <c r="M31">
        <f t="shared" si="2"/>
        <v>409.868482552986</v>
      </c>
      <c r="N31">
        <f>M31*2.0624/10/2.0053</f>
        <v>42.1539300063471</v>
      </c>
      <c r="O31">
        <f>AVERAGE(N31:N33)</f>
        <v>42.4057953463909</v>
      </c>
      <c r="P31">
        <f>_xlfn.STDEV.S(N31:N33)</f>
        <v>0.879633787085974</v>
      </c>
    </row>
    <row r="32" spans="9:14">
      <c r="I32">
        <v>8</v>
      </c>
      <c r="J32" t="s">
        <v>32</v>
      </c>
      <c r="K32">
        <v>2440326</v>
      </c>
      <c r="L32">
        <f t="shared" si="1"/>
        <v>52.728443065517</v>
      </c>
      <c r="M32">
        <f t="shared" si="2"/>
        <v>421.827544524136</v>
      </c>
      <c r="N32">
        <f>M32*2.0624/10/2.0053</f>
        <v>43.3838890852529</v>
      </c>
    </row>
    <row r="33" spans="9:14">
      <c r="I33">
        <v>8</v>
      </c>
      <c r="J33" t="s">
        <v>33</v>
      </c>
      <c r="K33">
        <v>2337509</v>
      </c>
      <c r="L33">
        <f t="shared" si="1"/>
        <v>50.6570231283746</v>
      </c>
      <c r="M33">
        <f t="shared" si="2"/>
        <v>405.256185026997</v>
      </c>
      <c r="N33">
        <f>M33*2.0624/10/2.0053</f>
        <v>41.6795669475728</v>
      </c>
    </row>
    <row r="34" spans="9:16">
      <c r="I34">
        <v>8</v>
      </c>
      <c r="J34" t="s">
        <v>34</v>
      </c>
      <c r="K34">
        <v>2222327</v>
      </c>
      <c r="L34">
        <f t="shared" si="1"/>
        <v>48.3364896446128</v>
      </c>
      <c r="M34">
        <f t="shared" si="2"/>
        <v>386.691917156902</v>
      </c>
      <c r="N34">
        <f>M34*2.0624/10/2.0035</f>
        <v>39.8060099797552</v>
      </c>
      <c r="O34">
        <f>AVERAGE(N34:N36)</f>
        <v>38.8752514067154</v>
      </c>
      <c r="P34">
        <f>_xlfn.STDEV.S(N34:N36)</f>
        <v>1.84735808107854</v>
      </c>
    </row>
    <row r="35" spans="9:14">
      <c r="I35">
        <v>8</v>
      </c>
      <c r="J35" t="s">
        <v>35</v>
      </c>
      <c r="K35">
        <v>2238365</v>
      </c>
      <c r="L35">
        <f t="shared" si="1"/>
        <v>48.6596019018454</v>
      </c>
      <c r="M35">
        <f t="shared" si="2"/>
        <v>389.276815214763</v>
      </c>
      <c r="N35">
        <f>M35*2.0624/10/2.0035</f>
        <v>40.072099011676</v>
      </c>
    </row>
    <row r="36" spans="9:14">
      <c r="I36">
        <v>8</v>
      </c>
      <c r="J36" t="s">
        <v>36</v>
      </c>
      <c r="K36">
        <v>2037990</v>
      </c>
      <c r="L36">
        <f t="shared" si="1"/>
        <v>44.6227133532114</v>
      </c>
      <c r="M36">
        <f t="shared" si="2"/>
        <v>356.981706825691</v>
      </c>
      <c r="N36">
        <f>M36*2.0624/10/2.0035</f>
        <v>36.747645228715</v>
      </c>
    </row>
    <row r="37" spans="9:16">
      <c r="I37">
        <v>8</v>
      </c>
      <c r="J37" t="s">
        <v>37</v>
      </c>
      <c r="K37">
        <v>2189227</v>
      </c>
      <c r="L37">
        <f t="shared" si="1"/>
        <v>47.6696349423805</v>
      </c>
      <c r="M37">
        <f t="shared" si="2"/>
        <v>381.357079539044</v>
      </c>
      <c r="N37">
        <f>M37*2.0624/10/2.0042</f>
        <v>39.2431314659877</v>
      </c>
      <c r="O37">
        <f>AVERAGE(N37:N39)</f>
        <v>38.7543441519203</v>
      </c>
      <c r="P37">
        <f>_xlfn.STDEV.S(N37:N39)</f>
        <v>0.488762437918142</v>
      </c>
    </row>
    <row r="38" spans="9:14">
      <c r="I38">
        <v>8</v>
      </c>
      <c r="J38" t="s">
        <v>38</v>
      </c>
      <c r="K38">
        <v>2130288</v>
      </c>
      <c r="L38">
        <f t="shared" si="1"/>
        <v>46.4822104923846</v>
      </c>
      <c r="M38">
        <f t="shared" si="2"/>
        <v>371.857683939076</v>
      </c>
      <c r="N38">
        <f>M38*2.0624/10/2.0042</f>
        <v>38.2656065939503</v>
      </c>
    </row>
    <row r="39" spans="9:14">
      <c r="I39">
        <v>8</v>
      </c>
      <c r="J39" t="s">
        <v>39</v>
      </c>
      <c r="K39">
        <v>2159753</v>
      </c>
      <c r="L39">
        <f t="shared" si="1"/>
        <v>47.0758320573777</v>
      </c>
      <c r="M39">
        <f t="shared" si="2"/>
        <v>376.606656459022</v>
      </c>
      <c r="N39">
        <f>M39*2.0624/10/2.0042</f>
        <v>38.7542943958231</v>
      </c>
    </row>
    <row r="40" spans="9:16">
      <c r="I40">
        <v>8</v>
      </c>
      <c r="J40" t="s">
        <v>40</v>
      </c>
      <c r="K40">
        <v>2062453</v>
      </c>
      <c r="L40">
        <f t="shared" si="1"/>
        <v>45.1155612861633</v>
      </c>
      <c r="M40">
        <f t="shared" si="2"/>
        <v>360.924490289306</v>
      </c>
      <c r="N40">
        <f t="shared" ref="N40:N45" si="3">M40*2.0624/10/2.004</f>
        <v>37.1442449487358</v>
      </c>
      <c r="O40">
        <f>AVERAGE(N40:N42)</f>
        <v>37.1618769520352</v>
      </c>
      <c r="P40">
        <f>_xlfn.STDEV.S(N40:N42)</f>
        <v>0.23517771212844</v>
      </c>
    </row>
    <row r="41" spans="9:14">
      <c r="I41">
        <v>8</v>
      </c>
      <c r="J41" t="s">
        <v>41</v>
      </c>
      <c r="K41">
        <v>2049899</v>
      </c>
      <c r="L41">
        <f t="shared" si="1"/>
        <v>44.8626400193408</v>
      </c>
      <c r="M41">
        <f t="shared" si="2"/>
        <v>358.901120154726</v>
      </c>
      <c r="N41">
        <f t="shared" si="3"/>
        <v>36.9360114873806</v>
      </c>
    </row>
    <row r="42" spans="9:14">
      <c r="I42">
        <v>8</v>
      </c>
      <c r="J42" t="s">
        <v>42</v>
      </c>
      <c r="K42">
        <v>2078196</v>
      </c>
      <c r="L42">
        <f t="shared" si="1"/>
        <v>45.4327302764123</v>
      </c>
      <c r="M42">
        <f t="shared" si="2"/>
        <v>363.461842211298</v>
      </c>
      <c r="N42">
        <f t="shared" si="3"/>
        <v>37.4053744199891</v>
      </c>
    </row>
    <row r="43" spans="9:16">
      <c r="I43">
        <v>8</v>
      </c>
      <c r="J43" t="s">
        <v>43</v>
      </c>
      <c r="K43">
        <v>1955380</v>
      </c>
      <c r="L43">
        <f t="shared" si="1"/>
        <v>42.9583971311145</v>
      </c>
      <c r="M43">
        <f t="shared" si="2"/>
        <v>343.667177048916</v>
      </c>
      <c r="N43">
        <f t="shared" si="3"/>
        <v>35.3682228515811</v>
      </c>
      <c r="O43">
        <f>AVERAGE(N43:N45)</f>
        <v>36.0409426613772</v>
      </c>
      <c r="P43">
        <f>_xlfn.STDEV.S(N43:N45)</f>
        <v>0.821323422658626</v>
      </c>
    </row>
    <row r="44" spans="9:14">
      <c r="I44">
        <v>8</v>
      </c>
      <c r="J44" t="s">
        <v>44</v>
      </c>
      <c r="K44">
        <v>2051118</v>
      </c>
      <c r="L44">
        <f t="shared" si="1"/>
        <v>44.8871988073173</v>
      </c>
      <c r="M44">
        <f t="shared" si="2"/>
        <v>359.097590458538</v>
      </c>
      <c r="N44">
        <f t="shared" si="3"/>
        <v>36.9562310659525</v>
      </c>
    </row>
    <row r="45" spans="9:14">
      <c r="I45">
        <v>8</v>
      </c>
      <c r="J45" t="s">
        <v>45</v>
      </c>
      <c r="K45">
        <v>1981313</v>
      </c>
      <c r="L45">
        <f t="shared" si="1"/>
        <v>43.4808606656459</v>
      </c>
      <c r="M45">
        <f t="shared" si="2"/>
        <v>347.846885325167</v>
      </c>
      <c r="N45">
        <f t="shared" si="3"/>
        <v>35.798374066598</v>
      </c>
    </row>
    <row r="46" spans="10:10">
      <c r="J46" t="s">
        <v>46</v>
      </c>
    </row>
    <row r="47" spans="9:16">
      <c r="I47">
        <v>1</v>
      </c>
      <c r="J47" t="s">
        <v>7</v>
      </c>
      <c r="K47">
        <v>1797141</v>
      </c>
      <c r="L47">
        <f t="shared" ref="L47:L67" si="4">(K47+176903)/49636</f>
        <v>39.7704085744218</v>
      </c>
      <c r="M47">
        <f t="shared" ref="M47:M67" si="5">L47*I47</f>
        <v>39.7704085744218</v>
      </c>
      <c r="N47">
        <f>M47*2.0624/10/2.0052</f>
        <v>4.09048926011807</v>
      </c>
      <c r="O47">
        <f>AVERAGE(N47:N49)</f>
        <v>4.16751887432911</v>
      </c>
      <c r="P47">
        <f>_xlfn.STDEV.S(N47:N49)</f>
        <v>0.158610369041689</v>
      </c>
    </row>
    <row r="48" spans="9:14">
      <c r="I48">
        <v>1</v>
      </c>
      <c r="J48" t="s">
        <v>8</v>
      </c>
      <c r="K48">
        <v>1783457</v>
      </c>
      <c r="L48">
        <f t="shared" si="4"/>
        <v>39.4947215730518</v>
      </c>
      <c r="M48">
        <f t="shared" si="5"/>
        <v>39.4947215730518</v>
      </c>
      <c r="N48">
        <f>M48*2.0624/10/2.0052</f>
        <v>4.0621341398495</v>
      </c>
    </row>
    <row r="49" spans="9:14">
      <c r="I49">
        <v>1</v>
      </c>
      <c r="J49" t="s">
        <v>9</v>
      </c>
      <c r="K49">
        <v>1922347</v>
      </c>
      <c r="L49">
        <f t="shared" si="4"/>
        <v>42.2928922556209</v>
      </c>
      <c r="M49">
        <f t="shared" si="5"/>
        <v>42.2928922556209</v>
      </c>
      <c r="N49">
        <f>M49*2.0624/10/2.0052</f>
        <v>4.34993322301978</v>
      </c>
    </row>
    <row r="50" spans="9:16">
      <c r="I50">
        <v>1</v>
      </c>
      <c r="J50" t="s">
        <v>10</v>
      </c>
      <c r="K50">
        <v>1850191</v>
      </c>
      <c r="L50">
        <f t="shared" si="4"/>
        <v>40.8391892980901</v>
      </c>
      <c r="M50">
        <f t="shared" si="5"/>
        <v>40.8391892980901</v>
      </c>
      <c r="N50">
        <f>M50*2.0624/10/2.0046</f>
        <v>4.20167335171012</v>
      </c>
      <c r="O50">
        <f>AVERAGE(N50:N51)</f>
        <v>4.17839629019264</v>
      </c>
      <c r="P50">
        <f>_xlfn.STDEV.S(N50:N51)</f>
        <v>0.0329187360902065</v>
      </c>
    </row>
    <row r="51" spans="9:14">
      <c r="I51">
        <v>1</v>
      </c>
      <c r="J51" t="s">
        <v>11</v>
      </c>
      <c r="K51">
        <v>1827731</v>
      </c>
      <c r="L51">
        <f t="shared" si="4"/>
        <v>40.3866951406237</v>
      </c>
      <c r="M51">
        <f t="shared" si="5"/>
        <v>40.3866951406237</v>
      </c>
      <c r="N51">
        <f>M51*2.0624/10/2.0046</f>
        <v>4.15511922867517</v>
      </c>
    </row>
    <row r="52" spans="9:14">
      <c r="I52">
        <v>1</v>
      </c>
      <c r="J52" s="3" t="s">
        <v>13</v>
      </c>
      <c r="K52">
        <v>1821450</v>
      </c>
      <c r="L52">
        <f t="shared" si="4"/>
        <v>40.2601539205415</v>
      </c>
      <c r="M52">
        <f t="shared" si="5"/>
        <v>40.2601539205415</v>
      </c>
      <c r="N52">
        <f>M52*2.0624/10/2.0025</f>
        <v>4.14644401726466</v>
      </c>
    </row>
    <row r="53" spans="9:14">
      <c r="I53">
        <v>1</v>
      </c>
      <c r="J53" t="s">
        <v>16</v>
      </c>
      <c r="K53">
        <v>1848199</v>
      </c>
      <c r="L53">
        <f t="shared" si="4"/>
        <v>40.7990571359497</v>
      </c>
      <c r="M53">
        <f t="shared" si="5"/>
        <v>40.7990571359497</v>
      </c>
      <c r="N53">
        <f>M53*2.0624/10/2.0039</f>
        <v>4.1990107009922</v>
      </c>
    </row>
    <row r="54" spans="9:14">
      <c r="I54">
        <v>1</v>
      </c>
      <c r="J54" t="s">
        <v>19</v>
      </c>
      <c r="K54">
        <v>1751540</v>
      </c>
      <c r="L54">
        <f t="shared" si="4"/>
        <v>38.8517003787574</v>
      </c>
      <c r="M54">
        <f t="shared" si="5"/>
        <v>38.8517003787574</v>
      </c>
      <c r="N54">
        <f>M54*2.0624/10/2.0052</f>
        <v>3.99599774891029</v>
      </c>
    </row>
    <row r="55" spans="9:14">
      <c r="I55">
        <v>1</v>
      </c>
      <c r="J55" t="s">
        <v>22</v>
      </c>
      <c r="K55">
        <v>1822394</v>
      </c>
      <c r="L55">
        <f t="shared" si="4"/>
        <v>40.2791723748892</v>
      </c>
      <c r="M55">
        <f t="shared" si="5"/>
        <v>40.2791723748892</v>
      </c>
      <c r="N55">
        <f>M55*2.0624/10/2.001</f>
        <v>4.15151249904905</v>
      </c>
    </row>
    <row r="56" spans="9:14">
      <c r="I56">
        <v>1</v>
      </c>
      <c r="J56" s="3" t="s">
        <v>25</v>
      </c>
      <c r="K56">
        <v>1818107</v>
      </c>
      <c r="L56">
        <f t="shared" si="4"/>
        <v>40.1928036102829</v>
      </c>
      <c r="M56">
        <f t="shared" si="5"/>
        <v>40.1928036102829</v>
      </c>
      <c r="N56">
        <f>M56*2.0624/10/2.0063</f>
        <v>4.13166715674861</v>
      </c>
    </row>
    <row r="57" spans="9:14">
      <c r="I57">
        <v>1</v>
      </c>
      <c r="J57" s="3" t="s">
        <v>28</v>
      </c>
      <c r="K57">
        <v>6760912</v>
      </c>
      <c r="L57">
        <f t="shared" si="4"/>
        <v>139.773853654606</v>
      </c>
      <c r="M57">
        <f t="shared" si="5"/>
        <v>139.773853654606</v>
      </c>
      <c r="N57" s="2">
        <f>M57*2.0624/10/2.0032</f>
        <v>14.3904550607657</v>
      </c>
    </row>
    <row r="58" spans="9:14">
      <c r="I58">
        <v>1</v>
      </c>
      <c r="J58" t="s">
        <v>31</v>
      </c>
      <c r="K58">
        <v>1844488</v>
      </c>
      <c r="L58">
        <f t="shared" si="4"/>
        <v>40.7242928519623</v>
      </c>
      <c r="M58">
        <f t="shared" si="5"/>
        <v>40.7242928519623</v>
      </c>
      <c r="N58">
        <f>M58*2.0624/10/2.0013</f>
        <v>4.19676118412467</v>
      </c>
    </row>
    <row r="59" spans="9:14">
      <c r="I59">
        <v>1</v>
      </c>
      <c r="J59" t="s">
        <v>34</v>
      </c>
      <c r="K59">
        <v>2091772</v>
      </c>
      <c r="L59">
        <f t="shared" si="4"/>
        <v>45.7062414376662</v>
      </c>
      <c r="M59">
        <f t="shared" si="5"/>
        <v>45.7062414376662</v>
      </c>
      <c r="N59">
        <f>M59*2.0624/10/2.007</f>
        <v>4.69678885605594</v>
      </c>
    </row>
    <row r="60" spans="9:14">
      <c r="I60">
        <v>1</v>
      </c>
      <c r="J60" t="s">
        <v>37</v>
      </c>
      <c r="K60">
        <v>2130539</v>
      </c>
      <c r="L60">
        <f t="shared" si="4"/>
        <v>46.4872673059876</v>
      </c>
      <c r="M60">
        <f t="shared" si="5"/>
        <v>46.4872673059876</v>
      </c>
      <c r="N60">
        <f>M60*2.0624/10/2.0064</f>
        <v>4.77847588177177</v>
      </c>
    </row>
    <row r="61" spans="9:14">
      <c r="I61">
        <v>1</v>
      </c>
      <c r="J61" t="s">
        <v>40</v>
      </c>
      <c r="K61">
        <v>2023547</v>
      </c>
      <c r="L61">
        <f t="shared" si="4"/>
        <v>44.3317350310259</v>
      </c>
      <c r="M61">
        <f t="shared" si="5"/>
        <v>44.3317350310259</v>
      </c>
      <c r="N61">
        <f>M61*2.0624/10/2.0046</f>
        <v>4.56099822049226</v>
      </c>
    </row>
    <row r="62" spans="9:14">
      <c r="I62">
        <v>1</v>
      </c>
      <c r="J62" t="s">
        <v>43</v>
      </c>
      <c r="K62">
        <v>1992530</v>
      </c>
      <c r="L62">
        <f t="shared" si="4"/>
        <v>43.7068458376984</v>
      </c>
      <c r="M62">
        <f t="shared" si="5"/>
        <v>43.7068458376984</v>
      </c>
      <c r="N62">
        <f>M62*2.0624/10/2.0035</f>
        <v>4.49917638411127</v>
      </c>
    </row>
    <row r="63" spans="9:14">
      <c r="I63">
        <v>1</v>
      </c>
      <c r="J63" t="s">
        <v>47</v>
      </c>
      <c r="K63">
        <v>1802334</v>
      </c>
      <c r="L63">
        <f t="shared" si="4"/>
        <v>39.8750302200016</v>
      </c>
      <c r="M63">
        <f t="shared" si="5"/>
        <v>39.8750302200016</v>
      </c>
      <c r="N63">
        <f>M63*2.0624/10/2.0086</f>
        <v>4.09430759363394</v>
      </c>
    </row>
    <row r="64" spans="9:14">
      <c r="I64">
        <v>1</v>
      </c>
      <c r="J64" t="s">
        <v>48</v>
      </c>
      <c r="K64">
        <v>1574483</v>
      </c>
      <c r="L64">
        <f t="shared" si="4"/>
        <v>35.2845918285116</v>
      </c>
      <c r="M64">
        <f t="shared" si="5"/>
        <v>35.2845918285116</v>
      </c>
      <c r="N64">
        <f>M64*2.0624/10/2.0028</f>
        <v>3.63346026498513</v>
      </c>
    </row>
    <row r="65" spans="9:14">
      <c r="I65">
        <v>1</v>
      </c>
      <c r="J65" t="s">
        <v>49</v>
      </c>
      <c r="K65">
        <v>1326249</v>
      </c>
      <c r="L65">
        <f t="shared" si="4"/>
        <v>30.2835039084535</v>
      </c>
      <c r="M65">
        <f t="shared" si="5"/>
        <v>30.2835039084535</v>
      </c>
      <c r="N65">
        <f>M65*2.0624/10/2.0051</f>
        <v>3.11489194857087</v>
      </c>
    </row>
    <row r="66" spans="9:14">
      <c r="I66">
        <v>1</v>
      </c>
      <c r="J66" t="s">
        <v>50</v>
      </c>
      <c r="K66">
        <v>1202250</v>
      </c>
      <c r="L66">
        <f t="shared" si="4"/>
        <v>27.785337255218</v>
      </c>
      <c r="M66">
        <f t="shared" si="5"/>
        <v>27.785337255218</v>
      </c>
      <c r="N66">
        <f>M66*2.0624/10/2.0036</f>
        <v>2.86007584124384</v>
      </c>
    </row>
    <row r="67" spans="9:14">
      <c r="I67">
        <v>1</v>
      </c>
      <c r="J67" t="s">
        <v>51</v>
      </c>
      <c r="K67">
        <v>1443391</v>
      </c>
      <c r="L67">
        <f t="shared" si="4"/>
        <v>32.643524860988</v>
      </c>
      <c r="M67">
        <f t="shared" si="5"/>
        <v>32.643524860988</v>
      </c>
      <c r="N67">
        <f>M67*2.0624/10/2.0023</f>
        <v>3.36233360002505</v>
      </c>
    </row>
  </sheetData>
  <pageMargins left="0.7" right="0.7" top="0.75" bottom="0.75" header="0.3" footer="0.3"/>
  <pageSetup paperSize="9" orientation="portrait"/>
  <headerFooter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Q67"/>
  <sheetViews>
    <sheetView workbookViewId="0">
      <selection activeCell="H5" sqref="H5:L52"/>
    </sheetView>
  </sheetViews>
  <sheetFormatPr defaultColWidth="9" defaultRowHeight="13.5"/>
  <sheetData>
    <row r="1" spans="2:3">
      <c r="B1">
        <v>10</v>
      </c>
      <c r="C1">
        <v>253760</v>
      </c>
    </row>
    <row r="2" spans="2:3">
      <c r="B2">
        <v>50</v>
      </c>
      <c r="C2">
        <v>2580239</v>
      </c>
    </row>
    <row r="3" spans="2:3">
      <c r="B3">
        <v>100</v>
      </c>
      <c r="C3">
        <v>4582633</v>
      </c>
    </row>
    <row r="4" spans="7:11">
      <c r="G4" t="s">
        <v>0</v>
      </c>
      <c r="H4" t="s">
        <v>46</v>
      </c>
      <c r="I4" t="s">
        <v>2</v>
      </c>
      <c r="J4" t="s">
        <v>3</v>
      </c>
      <c r="K4" t="s">
        <v>4</v>
      </c>
    </row>
    <row r="5" spans="7:17">
      <c r="G5">
        <v>1</v>
      </c>
      <c r="H5" t="s">
        <v>8</v>
      </c>
      <c r="I5">
        <v>1734200</v>
      </c>
      <c r="J5">
        <f>(I5+75450)/47769</f>
        <v>37.8833553141158</v>
      </c>
      <c r="K5">
        <f>J5*G5</f>
        <v>37.8833553141158</v>
      </c>
      <c r="L5">
        <f>K5*2.0624/10/2.0056</f>
        <v>3.89562385320266</v>
      </c>
      <c r="N5" t="s">
        <v>7</v>
      </c>
      <c r="O5">
        <v>4.09048926011807</v>
      </c>
      <c r="P5">
        <f>AVERAGE(O5:O10)</f>
        <v>4.15013891421446</v>
      </c>
      <c r="Q5">
        <f>_xlfn.STDEV.S(O5:O10)</f>
        <v>0.21956797597622</v>
      </c>
    </row>
    <row r="6" spans="7:15">
      <c r="G6">
        <v>1</v>
      </c>
      <c r="H6" t="s">
        <v>9</v>
      </c>
      <c r="I6">
        <v>2005658</v>
      </c>
      <c r="J6">
        <f t="shared" ref="J6:J13" si="0">(I6+75450)/47769</f>
        <v>43.5660784190584</v>
      </c>
      <c r="K6">
        <f t="shared" ref="K6:K26" si="1">J6*G6</f>
        <v>43.5660784190584</v>
      </c>
      <c r="L6">
        <f>K6*2.0624/10/2.0056</f>
        <v>4.47999003447677</v>
      </c>
      <c r="N6" t="s">
        <v>8</v>
      </c>
      <c r="O6">
        <v>4.0621341398495</v>
      </c>
    </row>
    <row r="7" spans="7:15">
      <c r="G7">
        <v>1</v>
      </c>
      <c r="H7" t="s">
        <v>52</v>
      </c>
      <c r="I7">
        <v>1793214</v>
      </c>
      <c r="J7">
        <f t="shared" si="0"/>
        <v>39.1187590278214</v>
      </c>
      <c r="K7">
        <f t="shared" si="1"/>
        <v>39.1187590278214</v>
      </c>
      <c r="L7">
        <f>K7*2.0624/10/2.0056</f>
        <v>4.02266297462001</v>
      </c>
      <c r="N7" t="s">
        <v>9</v>
      </c>
      <c r="O7">
        <v>4.34993322301978</v>
      </c>
    </row>
    <row r="8" spans="7:15">
      <c r="G8">
        <v>1</v>
      </c>
      <c r="H8" t="s">
        <v>11</v>
      </c>
      <c r="I8">
        <v>1850611</v>
      </c>
      <c r="J8">
        <f t="shared" si="0"/>
        <v>40.3203123364525</v>
      </c>
      <c r="K8">
        <f t="shared" si="1"/>
        <v>40.3203123364525</v>
      </c>
      <c r="L8">
        <f>K8*2.0624/10/2.0052</f>
        <v>4.14704828260022</v>
      </c>
      <c r="N8" t="s">
        <v>8</v>
      </c>
      <c r="O8">
        <v>3.89562385320266</v>
      </c>
    </row>
    <row r="9" spans="7:15">
      <c r="G9">
        <v>1</v>
      </c>
      <c r="H9" t="s">
        <v>12</v>
      </c>
      <c r="I9">
        <v>1805162</v>
      </c>
      <c r="J9">
        <f t="shared" si="0"/>
        <v>39.3688793987733</v>
      </c>
      <c r="K9">
        <f t="shared" si="1"/>
        <v>39.3688793987733</v>
      </c>
      <c r="L9">
        <f>K9*2.0624/10/2.0052</f>
        <v>4.04919094713894</v>
      </c>
      <c r="N9" t="s">
        <v>9</v>
      </c>
      <c r="O9">
        <v>4.47999003447677</v>
      </c>
    </row>
    <row r="10" spans="7:15">
      <c r="G10">
        <v>1</v>
      </c>
      <c r="H10" s="3" t="s">
        <v>14</v>
      </c>
      <c r="I10">
        <v>1797100</v>
      </c>
      <c r="J10">
        <f t="shared" si="0"/>
        <v>39.2001088572086</v>
      </c>
      <c r="K10">
        <f t="shared" si="1"/>
        <v>39.2001088572086</v>
      </c>
      <c r="L10">
        <f>K10*2.0624/10/2.0046</f>
        <v>4.03303923511459</v>
      </c>
      <c r="N10" t="s">
        <v>52</v>
      </c>
      <c r="O10">
        <v>4.02266297462001</v>
      </c>
    </row>
    <row r="11" spans="7:17">
      <c r="G11">
        <v>1</v>
      </c>
      <c r="H11" s="3" t="s">
        <v>15</v>
      </c>
      <c r="I11">
        <v>1756048</v>
      </c>
      <c r="J11">
        <f t="shared" si="0"/>
        <v>38.3407230630744</v>
      </c>
      <c r="K11">
        <f t="shared" si="1"/>
        <v>38.3407230630744</v>
      </c>
      <c r="L11">
        <f>K11*2.0624/10/2.0046</f>
        <v>3.94462272998526</v>
      </c>
      <c r="N11" t="s">
        <v>10</v>
      </c>
      <c r="O11">
        <v>4.20167335171012</v>
      </c>
      <c r="P11">
        <f>AVERAGE(O11:O14)</f>
        <v>4.13825795253111</v>
      </c>
      <c r="Q11">
        <f>_xlfn.STDEV.S(O11:O14)</f>
        <v>0.0640729189764606</v>
      </c>
    </row>
    <row r="12" spans="7:15">
      <c r="G12">
        <v>1</v>
      </c>
      <c r="H12" t="s">
        <v>17</v>
      </c>
      <c r="I12">
        <v>1827681</v>
      </c>
      <c r="J12">
        <f t="shared" si="0"/>
        <v>39.8402939144634</v>
      </c>
      <c r="K12">
        <f t="shared" si="1"/>
        <v>39.8402939144634</v>
      </c>
      <c r="L12">
        <f>K12*2.0624/10/2.0039</f>
        <v>4.10033545432353</v>
      </c>
      <c r="N12" t="s">
        <v>11</v>
      </c>
      <c r="O12">
        <v>4.15511922867517</v>
      </c>
    </row>
    <row r="13" spans="7:15">
      <c r="G13">
        <v>1</v>
      </c>
      <c r="H13" t="s">
        <v>18</v>
      </c>
      <c r="I13">
        <v>1832716</v>
      </c>
      <c r="J13">
        <f t="shared" si="0"/>
        <v>39.9456970001465</v>
      </c>
      <c r="K13">
        <f t="shared" si="1"/>
        <v>39.9456970001465</v>
      </c>
      <c r="L13">
        <f>K13*2.0624/10/2.0039</f>
        <v>4.11118346689467</v>
      </c>
      <c r="N13" t="s">
        <v>11</v>
      </c>
      <c r="O13">
        <v>4.14704828260022</v>
      </c>
    </row>
    <row r="14" spans="7:15">
      <c r="G14">
        <v>1</v>
      </c>
      <c r="H14" t="s">
        <v>20</v>
      </c>
      <c r="I14">
        <v>1810767</v>
      </c>
      <c r="J14">
        <f t="shared" ref="J14:J26" si="2">(I14+75450)/47769</f>
        <v>39.4862149092508</v>
      </c>
      <c r="K14">
        <f t="shared" si="1"/>
        <v>39.4862149092508</v>
      </c>
      <c r="L14">
        <f>K14*2.0624/10/2.0052</f>
        <v>4.06125920750243</v>
      </c>
      <c r="N14" t="s">
        <v>12</v>
      </c>
      <c r="O14">
        <v>4.04919094713894</v>
      </c>
    </row>
    <row r="15" spans="7:17">
      <c r="G15">
        <v>1</v>
      </c>
      <c r="H15" t="s">
        <v>21</v>
      </c>
      <c r="I15">
        <v>1790550</v>
      </c>
      <c r="J15">
        <f t="shared" si="2"/>
        <v>39.0629906424669</v>
      </c>
      <c r="K15">
        <f t="shared" si="1"/>
        <v>39.0629906424669</v>
      </c>
      <c r="L15">
        <f>K15*2.0624/10/2.0052</f>
        <v>4.01772949835546</v>
      </c>
      <c r="N15" s="3" t="s">
        <v>13</v>
      </c>
      <c r="O15">
        <v>4.14644401726466</v>
      </c>
      <c r="P15">
        <f>AVERAGE(O15:O17)</f>
        <v>4.04136866078817</v>
      </c>
      <c r="Q15">
        <f>_xlfn.STDEV.S(O15:O17)</f>
        <v>0.101168139741804</v>
      </c>
    </row>
    <row r="16" spans="7:15">
      <c r="G16">
        <v>1</v>
      </c>
      <c r="H16" t="s">
        <v>23</v>
      </c>
      <c r="I16">
        <v>1867879</v>
      </c>
      <c r="J16">
        <f t="shared" si="2"/>
        <v>40.6818020054847</v>
      </c>
      <c r="K16">
        <f t="shared" si="1"/>
        <v>40.6818020054847</v>
      </c>
      <c r="L16">
        <f>K16*2.0624/10/2.001</f>
        <v>4.19301091734691</v>
      </c>
      <c r="N16" t="s">
        <v>14</v>
      </c>
      <c r="O16">
        <v>4.03303923511459</v>
      </c>
    </row>
    <row r="17" spans="7:15">
      <c r="G17">
        <v>1</v>
      </c>
      <c r="H17" t="s">
        <v>24</v>
      </c>
      <c r="I17">
        <v>2370538</v>
      </c>
      <c r="J17">
        <f t="shared" si="2"/>
        <v>51.2045050137118</v>
      </c>
      <c r="K17">
        <f t="shared" si="1"/>
        <v>51.2045050137118</v>
      </c>
      <c r="L17">
        <f>K17*2.0624/10/2.001</f>
        <v>5.2775697721279</v>
      </c>
      <c r="N17" t="s">
        <v>15</v>
      </c>
      <c r="O17">
        <v>3.94462272998526</v>
      </c>
    </row>
    <row r="18" spans="7:17">
      <c r="G18">
        <v>1</v>
      </c>
      <c r="H18" t="s">
        <v>53</v>
      </c>
      <c r="I18">
        <v>1878273</v>
      </c>
      <c r="J18">
        <f t="shared" si="2"/>
        <v>40.8993908183131</v>
      </c>
      <c r="K18">
        <f t="shared" si="1"/>
        <v>40.8993908183131</v>
      </c>
      <c r="L18">
        <f>K18*2.0624/10/2.001</f>
        <v>4.21543746245322</v>
      </c>
      <c r="N18" t="s">
        <v>16</v>
      </c>
      <c r="O18">
        <v>4.1990107009922</v>
      </c>
      <c r="P18">
        <f>AVERAGE(O18:O20)</f>
        <v>4.13684320740347</v>
      </c>
      <c r="Q18">
        <f>_xlfn.STDEV.S(O18:O20)</f>
        <v>0.0541111614042327</v>
      </c>
    </row>
    <row r="19" spans="7:15">
      <c r="G19">
        <v>1</v>
      </c>
      <c r="H19" s="3" t="s">
        <v>26</v>
      </c>
      <c r="I19">
        <v>1873542</v>
      </c>
      <c r="J19">
        <f t="shared" si="2"/>
        <v>40.8003516925203</v>
      </c>
      <c r="K19">
        <f t="shared" si="1"/>
        <v>40.8003516925203</v>
      </c>
      <c r="L19">
        <f>K19*2.0624/10/2.0063</f>
        <v>4.19412078605661</v>
      </c>
      <c r="N19" t="s">
        <v>17</v>
      </c>
      <c r="O19">
        <v>4.10033545432353</v>
      </c>
    </row>
    <row r="20" spans="2:15">
      <c r="B20">
        <v>10</v>
      </c>
      <c r="C20">
        <v>248868</v>
      </c>
      <c r="G20">
        <v>1</v>
      </c>
      <c r="H20" s="3" t="s">
        <v>27</v>
      </c>
      <c r="I20">
        <v>1873577</v>
      </c>
      <c r="J20">
        <f t="shared" si="2"/>
        <v>40.8010843852708</v>
      </c>
      <c r="K20">
        <f t="shared" si="1"/>
        <v>40.8010843852708</v>
      </c>
      <c r="L20">
        <f>K20*2.0624/10/2.0063</f>
        <v>4.19419610408127</v>
      </c>
      <c r="N20" t="s">
        <v>18</v>
      </c>
      <c r="O20">
        <v>4.11118346689467</v>
      </c>
    </row>
    <row r="21" spans="2:17">
      <c r="B21">
        <v>50</v>
      </c>
      <c r="C21">
        <v>2528920</v>
      </c>
      <c r="G21">
        <v>1</v>
      </c>
      <c r="H21" s="3" t="s">
        <v>29</v>
      </c>
      <c r="I21">
        <v>1823020</v>
      </c>
      <c r="J21">
        <f t="shared" si="2"/>
        <v>39.7427201741715</v>
      </c>
      <c r="K21">
        <f t="shared" si="1"/>
        <v>39.7427201741715</v>
      </c>
      <c r="L21">
        <f>K21*2.0624/10/2.0032</f>
        <v>4.09172254828331</v>
      </c>
      <c r="N21" t="s">
        <v>19</v>
      </c>
      <c r="O21">
        <v>3.99599774891029</v>
      </c>
      <c r="P21">
        <f>AVERAGE(O21:O23)</f>
        <v>4.02499548492273</v>
      </c>
      <c r="Q21">
        <f>_xlfn.STDEV.S(O21:O23)</f>
        <v>0.0332319186173513</v>
      </c>
    </row>
    <row r="22" spans="2:15">
      <c r="B22">
        <v>100</v>
      </c>
      <c r="C22">
        <v>4946256</v>
      </c>
      <c r="G22">
        <v>1</v>
      </c>
      <c r="H22" s="3" t="s">
        <v>30</v>
      </c>
      <c r="I22">
        <v>1946628</v>
      </c>
      <c r="J22">
        <f t="shared" si="2"/>
        <v>42.3303397600955</v>
      </c>
      <c r="K22">
        <f t="shared" si="1"/>
        <v>42.3303397600955</v>
      </c>
      <c r="L22">
        <f>K22*2.0624/10/2.0032</f>
        <v>4.35813162546031</v>
      </c>
      <c r="N22" t="s">
        <v>20</v>
      </c>
      <c r="O22">
        <v>4.06125920750243</v>
      </c>
    </row>
    <row r="23" spans="7:15">
      <c r="G23">
        <v>1</v>
      </c>
      <c r="H23" t="s">
        <v>32</v>
      </c>
      <c r="I23">
        <v>1916738</v>
      </c>
      <c r="J23">
        <f t="shared" si="2"/>
        <v>41.704620151144</v>
      </c>
      <c r="K23">
        <f t="shared" si="1"/>
        <v>41.704620151144</v>
      </c>
      <c r="L23">
        <f>K23*2.0624/10/2.0013</f>
        <v>4.29778686852143</v>
      </c>
      <c r="N23" t="s">
        <v>21</v>
      </c>
      <c r="O23">
        <v>4.01772949835546</v>
      </c>
    </row>
    <row r="24" spans="7:17">
      <c r="G24">
        <v>1</v>
      </c>
      <c r="H24" t="s">
        <v>33</v>
      </c>
      <c r="I24">
        <v>1941791</v>
      </c>
      <c r="J24">
        <f t="shared" si="2"/>
        <v>42.2290816219724</v>
      </c>
      <c r="K24">
        <f t="shared" si="1"/>
        <v>42.2290816219724</v>
      </c>
      <c r="L24">
        <f>K24*2.0624/10/2.0013</f>
        <v>4.35183420462479</v>
      </c>
      <c r="N24" t="s">
        <v>22</v>
      </c>
      <c r="O24">
        <v>4.15151249904905</v>
      </c>
      <c r="P24">
        <f>AVERAGE(O24:O27)</f>
        <v>4.45938266274427</v>
      </c>
      <c r="Q24">
        <f>_xlfn.STDEV.S(O24:O27)</f>
        <v>0.546100525283985</v>
      </c>
    </row>
    <row r="25" spans="7:15">
      <c r="G25">
        <v>1</v>
      </c>
      <c r="H25" t="s">
        <v>35</v>
      </c>
      <c r="I25">
        <v>1970699</v>
      </c>
      <c r="J25">
        <f t="shared" si="2"/>
        <v>42.8342439657518</v>
      </c>
      <c r="K25">
        <f t="shared" si="1"/>
        <v>42.8342439657518</v>
      </c>
      <c r="L25">
        <f>K25*2.0624/10/2.007</f>
        <v>4.40166142276864</v>
      </c>
      <c r="N25" t="s">
        <v>23</v>
      </c>
      <c r="O25">
        <v>4.19301091734691</v>
      </c>
    </row>
    <row r="26" spans="7:15">
      <c r="G26">
        <v>1</v>
      </c>
      <c r="H26" t="s">
        <v>36</v>
      </c>
      <c r="I26">
        <v>1991038</v>
      </c>
      <c r="J26">
        <f t="shared" si="2"/>
        <v>43.2600221901233</v>
      </c>
      <c r="K26">
        <f t="shared" si="1"/>
        <v>43.2600221901233</v>
      </c>
      <c r="L26">
        <f>K26*2.0624/10/2.007</f>
        <v>4.44541453736474</v>
      </c>
      <c r="N26" t="s">
        <v>24</v>
      </c>
      <c r="O26">
        <v>5.2775697721279</v>
      </c>
    </row>
    <row r="27" spans="14:15">
      <c r="N27" t="s">
        <v>53</v>
      </c>
      <c r="O27">
        <v>4.21543746245322</v>
      </c>
    </row>
    <row r="28" spans="7:17">
      <c r="G28">
        <v>1</v>
      </c>
      <c r="H28" t="s">
        <v>38</v>
      </c>
      <c r="J28">
        <f>(I28+200548)/52036</f>
        <v>3.85402413713583</v>
      </c>
      <c r="K28">
        <f t="shared" ref="K28:K52" si="3">J28*G28</f>
        <v>3.85402413713583</v>
      </c>
      <c r="L28">
        <f>K28*2.0624/10/2.0064</f>
        <v>0.396159259391394</v>
      </c>
      <c r="N28" s="3" t="s">
        <v>25</v>
      </c>
      <c r="O28">
        <v>4.13166715674861</v>
      </c>
      <c r="P28">
        <f>AVERAGE(O28:O30)</f>
        <v>4.17332801562883</v>
      </c>
      <c r="Q28">
        <f>_xlfn.STDEV.S(O28:O30)</f>
        <v>0.0360793817876545</v>
      </c>
    </row>
    <row r="29" spans="7:15">
      <c r="G29">
        <v>1</v>
      </c>
      <c r="H29" t="s">
        <v>39</v>
      </c>
      <c r="I29">
        <v>2110713</v>
      </c>
      <c r="J29">
        <f t="shared" ref="J29:J43" si="4">(I29+200548)/52036</f>
        <v>44.4165769851641</v>
      </c>
      <c r="K29">
        <f t="shared" si="3"/>
        <v>44.4165769851641</v>
      </c>
      <c r="L29">
        <f>K29*2.0624/10/2.0064</f>
        <v>4.56562741099494</v>
      </c>
      <c r="N29" t="s">
        <v>26</v>
      </c>
      <c r="O29">
        <v>4.19412078605661</v>
      </c>
    </row>
    <row r="30" spans="7:15">
      <c r="G30">
        <v>1</v>
      </c>
      <c r="H30" t="s">
        <v>41</v>
      </c>
      <c r="I30">
        <v>1986931</v>
      </c>
      <c r="J30">
        <f t="shared" si="4"/>
        <v>42.0378007533246</v>
      </c>
      <c r="K30">
        <f t="shared" si="3"/>
        <v>42.0378007533246</v>
      </c>
      <c r="L30">
        <f>K30*2.0624/10/2.0046</f>
        <v>4.3249905354513</v>
      </c>
      <c r="N30" t="s">
        <v>27</v>
      </c>
      <c r="O30">
        <v>4.19419610408127</v>
      </c>
    </row>
    <row r="31" spans="7:17">
      <c r="G31">
        <v>1</v>
      </c>
      <c r="H31" t="s">
        <v>42</v>
      </c>
      <c r="I31">
        <v>1939492</v>
      </c>
      <c r="J31">
        <f t="shared" si="4"/>
        <v>41.1261434391575</v>
      </c>
      <c r="K31">
        <f t="shared" si="3"/>
        <v>41.1261434391575</v>
      </c>
      <c r="L31">
        <f>K31*2.0624/10/2.0046</f>
        <v>4.23119616027728</v>
      </c>
      <c r="N31" t="s">
        <v>29</v>
      </c>
      <c r="O31">
        <v>4.09172254828331</v>
      </c>
      <c r="P31">
        <f>AVERAGE(O31:O32)</f>
        <v>4.22492708687181</v>
      </c>
      <c r="Q31">
        <f>_xlfn.STDEV.S(O31:O32)</f>
        <v>0.188379665041502</v>
      </c>
    </row>
    <row r="32" spans="7:15">
      <c r="G32">
        <v>1</v>
      </c>
      <c r="H32" t="s">
        <v>44</v>
      </c>
      <c r="I32">
        <v>1893471</v>
      </c>
      <c r="J32">
        <f t="shared" si="4"/>
        <v>40.2417364901222</v>
      </c>
      <c r="K32">
        <f t="shared" si="3"/>
        <v>40.2417364901222</v>
      </c>
      <c r="L32">
        <f>K32*2.0624/10/2.0035</f>
        <v>4.14247852943489</v>
      </c>
      <c r="N32" t="s">
        <v>30</v>
      </c>
      <c r="O32">
        <v>4.35813162546031</v>
      </c>
    </row>
    <row r="33" spans="7:17">
      <c r="G33">
        <v>1</v>
      </c>
      <c r="H33" t="s">
        <v>45</v>
      </c>
      <c r="I33">
        <v>2280836</v>
      </c>
      <c r="J33">
        <f t="shared" si="4"/>
        <v>47.6859097547852</v>
      </c>
      <c r="K33">
        <f t="shared" si="3"/>
        <v>47.6859097547852</v>
      </c>
      <c r="L33">
        <f>K33*2.0624/10/2.0035</f>
        <v>4.90878064777983</v>
      </c>
      <c r="N33" t="s">
        <v>31</v>
      </c>
      <c r="O33">
        <v>4.19676118412467</v>
      </c>
      <c r="P33">
        <f>AVERAGE(O33:O35)</f>
        <v>4.2821274190903</v>
      </c>
      <c r="Q33">
        <f>_xlfn.STDEV.S(O33:O35)</f>
        <v>0.0787135578482029</v>
      </c>
    </row>
    <row r="34" spans="7:15">
      <c r="G34">
        <v>1</v>
      </c>
      <c r="H34" t="s">
        <v>54</v>
      </c>
      <c r="I34">
        <v>1664684</v>
      </c>
      <c r="J34">
        <f t="shared" si="4"/>
        <v>35.8450303635944</v>
      </c>
      <c r="K34">
        <f t="shared" si="3"/>
        <v>35.8450303635944</v>
      </c>
      <c r="L34">
        <f>K34*2.0624/10/2.0086</f>
        <v>3.68051332380151</v>
      </c>
      <c r="N34" t="s">
        <v>32</v>
      </c>
      <c r="O34">
        <v>4.29778686852143</v>
      </c>
    </row>
    <row r="35" spans="7:15">
      <c r="G35">
        <v>1</v>
      </c>
      <c r="H35" t="s">
        <v>55</v>
      </c>
      <c r="I35">
        <v>1842075</v>
      </c>
      <c r="J35">
        <f t="shared" si="4"/>
        <v>39.2540356676147</v>
      </c>
      <c r="K35">
        <f t="shared" si="3"/>
        <v>39.2540356676147</v>
      </c>
      <c r="L35">
        <f>K35*2.0624/10/2.0086</f>
        <v>4.03054481533847</v>
      </c>
      <c r="N35" t="s">
        <v>33</v>
      </c>
      <c r="O35">
        <v>4.35183420462479</v>
      </c>
    </row>
    <row r="36" spans="7:17">
      <c r="G36">
        <v>1</v>
      </c>
      <c r="H36" t="s">
        <v>56</v>
      </c>
      <c r="I36">
        <v>1503342</v>
      </c>
      <c r="J36">
        <f t="shared" si="4"/>
        <v>32.7444461526635</v>
      </c>
      <c r="K36">
        <f t="shared" si="3"/>
        <v>32.7444461526635</v>
      </c>
      <c r="L36">
        <f>K36*2.0624/10/2.0028</f>
        <v>3.37188664595832</v>
      </c>
      <c r="N36" t="s">
        <v>34</v>
      </c>
      <c r="O36">
        <v>4.69678885605594</v>
      </c>
      <c r="P36">
        <f>AVERAGE(O36:O38)</f>
        <v>4.51462160539644</v>
      </c>
      <c r="Q36">
        <f>_xlfn.STDEV.S(O36:O38)</f>
        <v>0.159271039956568</v>
      </c>
    </row>
    <row r="37" spans="7:15">
      <c r="G37">
        <v>1</v>
      </c>
      <c r="H37" t="s">
        <v>57</v>
      </c>
      <c r="I37">
        <v>1614201</v>
      </c>
      <c r="J37">
        <f t="shared" si="4"/>
        <v>34.8748750864786</v>
      </c>
      <c r="K37">
        <f t="shared" si="3"/>
        <v>34.8748750864786</v>
      </c>
      <c r="L37">
        <f>K37*2.0624/10/2.0028</f>
        <v>3.5912693418391</v>
      </c>
      <c r="N37" t="s">
        <v>35</v>
      </c>
      <c r="O37">
        <v>4.40166142276864</v>
      </c>
    </row>
    <row r="38" spans="7:15">
      <c r="G38">
        <v>1</v>
      </c>
      <c r="H38" t="s">
        <v>58</v>
      </c>
      <c r="I38">
        <v>1267815</v>
      </c>
      <c r="J38">
        <f t="shared" si="4"/>
        <v>28.2182143131678</v>
      </c>
      <c r="K38">
        <f t="shared" si="3"/>
        <v>28.2182143131678</v>
      </c>
      <c r="L38">
        <f>K38*2.0624/10/2.0051</f>
        <v>2.90246098446348</v>
      </c>
      <c r="N38" t="s">
        <v>36</v>
      </c>
      <c r="O38">
        <v>4.44541453736474</v>
      </c>
    </row>
    <row r="39" spans="7:17">
      <c r="G39">
        <v>1</v>
      </c>
      <c r="H39" t="s">
        <v>59</v>
      </c>
      <c r="I39">
        <v>1332896</v>
      </c>
      <c r="J39">
        <f t="shared" si="4"/>
        <v>29.4689061419018</v>
      </c>
      <c r="K39">
        <f t="shared" si="3"/>
        <v>29.4689061419018</v>
      </c>
      <c r="L39">
        <f>K39*2.0624/10/2.0051</f>
        <v>3.03110428542508</v>
      </c>
      <c r="N39" t="s">
        <v>37</v>
      </c>
      <c r="O39">
        <v>4.77847588177177</v>
      </c>
      <c r="P39">
        <f>AVERAGE(O39:O40)</f>
        <v>4.67205164638335</v>
      </c>
      <c r="Q39">
        <f>_xlfn.STDEV.S(O39:O40)</f>
        <v>0.150506597051483</v>
      </c>
    </row>
    <row r="40" spans="2:15">
      <c r="B40">
        <v>10</v>
      </c>
      <c r="C40">
        <v>256384</v>
      </c>
      <c r="G40">
        <v>1</v>
      </c>
      <c r="H40" t="s">
        <v>60</v>
      </c>
      <c r="I40">
        <v>1224481</v>
      </c>
      <c r="J40">
        <f t="shared" si="4"/>
        <v>27.3854446921362</v>
      </c>
      <c r="K40">
        <f t="shared" si="3"/>
        <v>27.3854446921362</v>
      </c>
      <c r="L40">
        <f>K40*2.0624/10/2.0036</f>
        <v>2.81891301322927</v>
      </c>
      <c r="N40" t="s">
        <v>39</v>
      </c>
      <c r="O40">
        <v>4.56562741099494</v>
      </c>
    </row>
    <row r="41" spans="2:17">
      <c r="B41">
        <v>50</v>
      </c>
      <c r="C41">
        <v>2614509</v>
      </c>
      <c r="G41">
        <v>1</v>
      </c>
      <c r="H41" t="s">
        <v>61</v>
      </c>
      <c r="I41">
        <v>1263036</v>
      </c>
      <c r="J41">
        <f t="shared" si="4"/>
        <v>28.1263740487355</v>
      </c>
      <c r="K41">
        <f t="shared" si="3"/>
        <v>28.1263740487355</v>
      </c>
      <c r="L41" s="4">
        <f>K41*2.0624/10/2.0036</f>
        <v>2.89518036724456</v>
      </c>
      <c r="N41" t="s">
        <v>40</v>
      </c>
      <c r="O41">
        <v>4.56099822049226</v>
      </c>
      <c r="P41">
        <f>AVERAGE(O41:O43)</f>
        <v>4.37239497207361</v>
      </c>
      <c r="Q41">
        <f>_xlfn.STDEV.S(O41:O43)</f>
        <v>0.169934502644752</v>
      </c>
    </row>
    <row r="42" spans="2:15">
      <c r="B42">
        <v>100</v>
      </c>
      <c r="C42">
        <v>4727913</v>
      </c>
      <c r="G42">
        <v>1</v>
      </c>
      <c r="H42" t="s">
        <v>62</v>
      </c>
      <c r="I42">
        <v>1473801</v>
      </c>
      <c r="J42">
        <f t="shared" si="4"/>
        <v>32.1767430240603</v>
      </c>
      <c r="K42">
        <f t="shared" si="3"/>
        <v>32.1767430240603</v>
      </c>
      <c r="L42">
        <f>K42*2.0624/10/2.0023</f>
        <v>3.31425434814073</v>
      </c>
      <c r="N42" t="s">
        <v>41</v>
      </c>
      <c r="O42">
        <v>4.3249905354513</v>
      </c>
    </row>
    <row r="43" spans="7:15">
      <c r="G43">
        <v>1</v>
      </c>
      <c r="H43" t="s">
        <v>63</v>
      </c>
      <c r="I43">
        <v>1466491</v>
      </c>
      <c r="J43">
        <f t="shared" si="4"/>
        <v>32.0362633561381</v>
      </c>
      <c r="K43">
        <f t="shared" si="3"/>
        <v>32.0362633561381</v>
      </c>
      <c r="L43">
        <f>K43*2.0624/10/2.0023</f>
        <v>3.29978472485138</v>
      </c>
      <c r="N43" t="s">
        <v>42</v>
      </c>
      <c r="O43">
        <v>4.23119616027728</v>
      </c>
    </row>
    <row r="44" spans="14:17">
      <c r="N44" t="s">
        <v>43</v>
      </c>
      <c r="O44">
        <v>4.49917638411127</v>
      </c>
      <c r="P44">
        <f>AVERAGE(O44:O46)</f>
        <v>4.51681185377533</v>
      </c>
      <c r="Q44">
        <f>_xlfn.STDEV.S(O44:O46)</f>
        <v>0.3834553318024</v>
      </c>
    </row>
    <row r="45" spans="14:15">
      <c r="N45" t="s">
        <v>44</v>
      </c>
      <c r="O45">
        <v>4.14247852943489</v>
      </c>
    </row>
    <row r="46" spans="14:15">
      <c r="N46" t="s">
        <v>45</v>
      </c>
      <c r="O46">
        <v>4.90878064777983</v>
      </c>
    </row>
    <row r="47" spans="7:17">
      <c r="G47">
        <v>1</v>
      </c>
      <c r="H47" s="3" t="s">
        <v>64</v>
      </c>
      <c r="I47">
        <v>1530931</v>
      </c>
      <c r="J47">
        <f t="shared" ref="J47:J52" si="5">(I47+100651)/49380</f>
        <v>33.0413527744026</v>
      </c>
      <c r="K47">
        <f t="shared" si="3"/>
        <v>33.0413527744026</v>
      </c>
      <c r="L47">
        <f>K47*2.0624/10/2.0061</f>
        <v>3.39686386331329</v>
      </c>
      <c r="N47" t="s">
        <v>47</v>
      </c>
      <c r="O47">
        <v>4.09430759363394</v>
      </c>
      <c r="P47">
        <f>AVERAGE(O47:O49)</f>
        <v>3.93512191092464</v>
      </c>
      <c r="Q47">
        <f>_xlfn.STDEV.S(O47:O49)</f>
        <v>0.22279042271071</v>
      </c>
    </row>
    <row r="48" spans="7:15">
      <c r="G48">
        <v>1</v>
      </c>
      <c r="H48" s="3" t="s">
        <v>65</v>
      </c>
      <c r="I48">
        <v>1583325</v>
      </c>
      <c r="J48">
        <f t="shared" si="5"/>
        <v>34.1023896314297</v>
      </c>
      <c r="K48">
        <f t="shared" si="3"/>
        <v>34.1023896314297</v>
      </c>
      <c r="L48">
        <f>K48*2.0624/10/2.0061</f>
        <v>3.50594528567173</v>
      </c>
      <c r="N48" t="s">
        <v>54</v>
      </c>
      <c r="O48">
        <v>3.68051332380151</v>
      </c>
    </row>
    <row r="49" spans="7:15">
      <c r="G49">
        <v>1</v>
      </c>
      <c r="H49" s="3" t="s">
        <v>66</v>
      </c>
      <c r="I49">
        <v>1584773</v>
      </c>
      <c r="J49">
        <f t="shared" si="5"/>
        <v>34.1317132442284</v>
      </c>
      <c r="K49">
        <f t="shared" si="3"/>
        <v>34.1317132442284</v>
      </c>
      <c r="L49">
        <f>K49*2.0624/10/2.0061</f>
        <v>3.50895994192197</v>
      </c>
      <c r="N49" t="s">
        <v>55</v>
      </c>
      <c r="O49">
        <v>4.03054481533847</v>
      </c>
    </row>
    <row r="50" spans="7:17">
      <c r="G50">
        <v>1</v>
      </c>
      <c r="H50" s="3" t="s">
        <v>67</v>
      </c>
      <c r="I50">
        <v>1508009</v>
      </c>
      <c r="J50">
        <f t="shared" si="5"/>
        <v>32.5771567436209</v>
      </c>
      <c r="K50">
        <f t="shared" si="3"/>
        <v>32.5771567436209</v>
      </c>
      <c r="L50">
        <f>K50*2.0624/10/2.0072</f>
        <v>3.34730610143701</v>
      </c>
      <c r="N50" t="s">
        <v>48</v>
      </c>
      <c r="O50">
        <v>3.63346026498513</v>
      </c>
      <c r="P50">
        <f>AVERAGE(O50:O52)</f>
        <v>3.53220541759418</v>
      </c>
      <c r="Q50">
        <f>_xlfn.STDEV.S(O50:O52)</f>
        <v>0.14043361386471</v>
      </c>
    </row>
    <row r="51" spans="7:15">
      <c r="G51">
        <v>1</v>
      </c>
      <c r="H51" s="3" t="s">
        <v>68</v>
      </c>
      <c r="I51">
        <v>1473893</v>
      </c>
      <c r="J51">
        <f t="shared" si="5"/>
        <v>31.886269744836</v>
      </c>
      <c r="K51">
        <f t="shared" si="3"/>
        <v>31.886269744836</v>
      </c>
      <c r="L51">
        <f>K51*2.0624/10/2.0072</f>
        <v>3.27631739347099</v>
      </c>
      <c r="N51" t="s">
        <v>56</v>
      </c>
      <c r="O51">
        <v>3.37188664595832</v>
      </c>
    </row>
    <row r="52" spans="7:15">
      <c r="G52">
        <v>1</v>
      </c>
      <c r="H52" s="3" t="s">
        <v>69</v>
      </c>
      <c r="I52">
        <v>1487184</v>
      </c>
      <c r="J52">
        <f t="shared" si="5"/>
        <v>32.1554272985014</v>
      </c>
      <c r="K52">
        <f t="shared" si="3"/>
        <v>32.1554272985014</v>
      </c>
      <c r="L52">
        <f>K52*2.0624/10/2.0072</f>
        <v>3.30397335892932</v>
      </c>
      <c r="N52" t="s">
        <v>57</v>
      </c>
      <c r="O52">
        <v>3.5912693418391</v>
      </c>
    </row>
    <row r="53" spans="14:17">
      <c r="N53" t="s">
        <v>49</v>
      </c>
      <c r="O53">
        <v>3.11489194857087</v>
      </c>
      <c r="P53">
        <f>AVERAGE(O53:O55)</f>
        <v>3.01615240615314</v>
      </c>
      <c r="Q53">
        <f>_xlfn.STDEV.S(O53:O55)</f>
        <v>0.107001858153122</v>
      </c>
    </row>
    <row r="54" spans="14:15">
      <c r="N54" t="s">
        <v>58</v>
      </c>
      <c r="O54">
        <v>2.90246098446348</v>
      </c>
    </row>
    <row r="55" spans="14:15">
      <c r="N55" t="s">
        <v>59</v>
      </c>
      <c r="O55">
        <v>3.03110428542508</v>
      </c>
    </row>
    <row r="56" spans="14:17">
      <c r="N56" t="s">
        <v>50</v>
      </c>
      <c r="O56">
        <v>2.86007584124384</v>
      </c>
      <c r="P56">
        <f>AVERAGE(O56:O58)</f>
        <v>2.85805640723923</v>
      </c>
      <c r="Q56">
        <f>_xlfn.STDEV.S(O56:O58)</f>
        <v>0.0381737594087564</v>
      </c>
    </row>
    <row r="57" spans="14:15">
      <c r="N57" t="s">
        <v>60</v>
      </c>
      <c r="O57">
        <v>2.81891301322927</v>
      </c>
    </row>
    <row r="58" spans="14:15">
      <c r="N58" t="s">
        <v>61</v>
      </c>
      <c r="O58">
        <v>2.89518036724456</v>
      </c>
    </row>
    <row r="59" spans="14:17">
      <c r="N59" t="s">
        <v>51</v>
      </c>
      <c r="O59">
        <v>3.36233360002505</v>
      </c>
      <c r="P59">
        <f>AVERAGE(O59:O61)</f>
        <v>3.32545755767239</v>
      </c>
      <c r="Q59">
        <f>_xlfn.STDEV.S(O59:O61)</f>
        <v>0.0327448373676006</v>
      </c>
    </row>
    <row r="60" spans="14:15">
      <c r="N60" t="s">
        <v>62</v>
      </c>
      <c r="O60">
        <v>3.31425434814073</v>
      </c>
    </row>
    <row r="61" spans="14:15">
      <c r="N61" t="s">
        <v>63</v>
      </c>
      <c r="O61">
        <v>3.29978472485138</v>
      </c>
    </row>
    <row r="62" spans="14:17">
      <c r="N62" s="3" t="s">
        <v>64</v>
      </c>
      <c r="O62">
        <v>3.39686386331329</v>
      </c>
      <c r="P62">
        <f>AVERAGE(O62:O64)</f>
        <v>3.470589696969</v>
      </c>
      <c r="Q62">
        <f>_xlfn.STDEV.S(O62:O64)</f>
        <v>0.0638662348134665</v>
      </c>
    </row>
    <row r="63" spans="14:15">
      <c r="N63" s="3" t="s">
        <v>65</v>
      </c>
      <c r="O63">
        <v>3.50594528567173</v>
      </c>
    </row>
    <row r="64" spans="14:15">
      <c r="N64" s="3" t="s">
        <v>66</v>
      </c>
      <c r="O64">
        <v>3.50895994192197</v>
      </c>
    </row>
    <row r="65" spans="14:17">
      <c r="N65" s="3" t="s">
        <v>67</v>
      </c>
      <c r="O65">
        <v>3.34730610143701</v>
      </c>
      <c r="P65">
        <f>AVERAGE(O65:O67)</f>
        <v>3.30919895127911</v>
      </c>
      <c r="Q65">
        <f>_xlfn.STDEV.S(O65:O67)</f>
        <v>0.0357816891192411</v>
      </c>
    </row>
    <row r="66" spans="14:15">
      <c r="N66" s="3" t="s">
        <v>68</v>
      </c>
      <c r="O66">
        <v>3.27631739347099</v>
      </c>
    </row>
    <row r="67" spans="14:15">
      <c r="N67" s="3" t="s">
        <v>69</v>
      </c>
      <c r="O67">
        <v>3.30397335892932</v>
      </c>
    </row>
  </sheetData>
  <pageMargins left="0.7" right="0.7" top="0.75" bottom="0.75" header="0.3" footer="0.3"/>
  <headerFooter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R95"/>
  <sheetViews>
    <sheetView topLeftCell="B49" workbookViewId="0">
      <selection activeCell="L65" sqref="L65"/>
    </sheetView>
  </sheetViews>
  <sheetFormatPr defaultColWidth="9" defaultRowHeight="13.5"/>
  <cols>
    <col min="9" max="9" width="9.5" customWidth="1"/>
  </cols>
  <sheetData>
    <row r="1" spans="2:3">
      <c r="B1">
        <v>10</v>
      </c>
      <c r="C1">
        <v>255709</v>
      </c>
    </row>
    <row r="2" spans="2:3">
      <c r="B2">
        <v>50</v>
      </c>
      <c r="C2">
        <v>2580239</v>
      </c>
    </row>
    <row r="3" spans="2:3">
      <c r="B3">
        <v>100</v>
      </c>
      <c r="C3">
        <v>4582633</v>
      </c>
    </row>
    <row r="4" spans="7:14">
      <c r="G4" t="s">
        <v>0</v>
      </c>
      <c r="H4" t="s">
        <v>70</v>
      </c>
      <c r="I4" t="s">
        <v>2</v>
      </c>
      <c r="J4" t="s">
        <v>3</v>
      </c>
      <c r="K4" t="s">
        <v>4</v>
      </c>
      <c r="M4" t="s">
        <v>5</v>
      </c>
      <c r="N4" t="s">
        <v>6</v>
      </c>
    </row>
    <row r="5" spans="7:14">
      <c r="G5">
        <v>1</v>
      </c>
      <c r="H5" t="s">
        <v>71</v>
      </c>
      <c r="I5">
        <v>3565332</v>
      </c>
      <c r="J5">
        <f>(I5+73693)/47748</f>
        <v>76.2131398173746</v>
      </c>
      <c r="K5">
        <f>J5*G5</f>
        <v>76.2131398173746</v>
      </c>
      <c r="L5">
        <f>K5*2.0624/10/2.0032</f>
        <v>7.84654450675685</v>
      </c>
      <c r="M5">
        <f>AVERAGE(L5:L7)</f>
        <v>7.63710782247998</v>
      </c>
      <c r="N5">
        <f>_xlfn.STDEV.S(L5:L7)</f>
        <v>0.569209527768575</v>
      </c>
    </row>
    <row r="6" spans="7:12">
      <c r="G6">
        <v>1</v>
      </c>
      <c r="H6" t="s">
        <v>72</v>
      </c>
      <c r="I6">
        <v>3669859</v>
      </c>
      <c r="J6">
        <f t="shared" ref="J6:J41" si="0">(I6+73693)/47748</f>
        <v>78.4022786294714</v>
      </c>
      <c r="K6">
        <f t="shared" ref="K6:K16" si="1">J6*G6</f>
        <v>78.4022786294714</v>
      </c>
      <c r="L6">
        <f>K6*2.0624/10/2.0032</f>
        <v>8.07192788765085</v>
      </c>
    </row>
    <row r="7" spans="7:12">
      <c r="G7">
        <v>1</v>
      </c>
      <c r="H7" t="s">
        <v>73</v>
      </c>
      <c r="I7">
        <v>3169411</v>
      </c>
      <c r="J7">
        <f t="shared" si="0"/>
        <v>67.9212532462093</v>
      </c>
      <c r="K7">
        <f t="shared" si="1"/>
        <v>67.9212532462093</v>
      </c>
      <c r="L7">
        <f>K7*2.0624/10/2.0032</f>
        <v>6.99285107303225</v>
      </c>
    </row>
    <row r="8" spans="7:14">
      <c r="G8">
        <v>2</v>
      </c>
      <c r="H8" t="s">
        <v>74</v>
      </c>
      <c r="I8">
        <v>2630993</v>
      </c>
      <c r="J8">
        <f t="shared" si="0"/>
        <v>56.6450113093742</v>
      </c>
      <c r="K8">
        <f t="shared" si="1"/>
        <v>113.290022618748</v>
      </c>
      <c r="L8">
        <f>K8*2.0624/10/2.0054</f>
        <v>11.6510094070463</v>
      </c>
      <c r="M8">
        <f>AVERAGE(L8:L10)</f>
        <v>11.5606005752021</v>
      </c>
      <c r="N8">
        <f>_xlfn.STDEV.S(L8:L10)</f>
        <v>0.0909754677313097</v>
      </c>
    </row>
    <row r="9" spans="7:12">
      <c r="G9">
        <v>2</v>
      </c>
      <c r="H9" t="s">
        <v>75</v>
      </c>
      <c r="I9">
        <v>2588757</v>
      </c>
      <c r="J9">
        <f t="shared" si="0"/>
        <v>55.7604506995057</v>
      </c>
      <c r="K9">
        <f t="shared" si="1"/>
        <v>111.520901399011</v>
      </c>
      <c r="L9">
        <f>K9*2.0624/10/2.0054</f>
        <v>11.469068866327</v>
      </c>
    </row>
    <row r="10" spans="7:12">
      <c r="G10">
        <v>2</v>
      </c>
      <c r="H10" t="s">
        <v>76</v>
      </c>
      <c r="I10">
        <v>2610266</v>
      </c>
      <c r="J10">
        <f t="shared" si="0"/>
        <v>56.2109198291028</v>
      </c>
      <c r="K10">
        <f t="shared" si="1"/>
        <v>112.421839658206</v>
      </c>
      <c r="L10">
        <f>K10*2.0624/10/2.0054</f>
        <v>11.5617234522331</v>
      </c>
    </row>
    <row r="11" spans="7:14">
      <c r="G11">
        <v>1</v>
      </c>
      <c r="H11" t="s">
        <v>77</v>
      </c>
      <c r="I11">
        <v>2343546</v>
      </c>
      <c r="J11">
        <f t="shared" si="0"/>
        <v>50.6249266985005</v>
      </c>
      <c r="K11">
        <f t="shared" si="1"/>
        <v>50.6249266985005</v>
      </c>
      <c r="L11">
        <f>K11*2.0624/10/2.0045</f>
        <v>5.20872281481603</v>
      </c>
      <c r="M11">
        <f>AVERAGE(L11:L13)</f>
        <v>5.09510113930011</v>
      </c>
      <c r="N11">
        <f>_xlfn.STDEV.S(L11:L13)</f>
        <v>0.119668730120519</v>
      </c>
    </row>
    <row r="12" spans="7:12">
      <c r="G12">
        <v>1</v>
      </c>
      <c r="H12" t="s">
        <v>78</v>
      </c>
      <c r="I12">
        <v>2232847</v>
      </c>
      <c r="J12">
        <f t="shared" si="0"/>
        <v>48.3065259277876</v>
      </c>
      <c r="K12">
        <f t="shared" si="1"/>
        <v>48.3065259277876</v>
      </c>
      <c r="L12">
        <f>K12*2.0624/10/2.0045</f>
        <v>4.97018603509449</v>
      </c>
    </row>
    <row r="13" spans="7:12">
      <c r="G13">
        <v>1</v>
      </c>
      <c r="H13" t="s">
        <v>79</v>
      </c>
      <c r="I13">
        <v>2296058</v>
      </c>
      <c r="J13">
        <f t="shared" si="0"/>
        <v>49.630371952752</v>
      </c>
      <c r="K13">
        <f t="shared" si="1"/>
        <v>49.630371952752</v>
      </c>
      <c r="L13">
        <f>K13*2.0624/10/2.0045</f>
        <v>5.1063945679898</v>
      </c>
    </row>
    <row r="14" spans="7:14">
      <c r="G14">
        <v>2</v>
      </c>
      <c r="H14" t="s">
        <v>80</v>
      </c>
      <c r="I14">
        <v>2639092</v>
      </c>
      <c r="J14">
        <f t="shared" si="0"/>
        <v>56.814630979308</v>
      </c>
      <c r="K14">
        <f t="shared" si="1"/>
        <v>113.629261958616</v>
      </c>
      <c r="L14">
        <f>K14*2.0624/10/2.0035</f>
        <v>11.69697977856</v>
      </c>
      <c r="M14">
        <f>AVERAGE(L14:L16)</f>
        <v>12.7160558877038</v>
      </c>
      <c r="N14">
        <f>_xlfn.STDEV.S(L14:L16)</f>
        <v>1.42728730195545</v>
      </c>
    </row>
    <row r="15" spans="7:12">
      <c r="G15">
        <v>2</v>
      </c>
      <c r="H15" t="s">
        <v>81</v>
      </c>
      <c r="I15">
        <v>3253763</v>
      </c>
      <c r="J15">
        <f t="shared" si="0"/>
        <v>69.6878612716763</v>
      </c>
      <c r="K15">
        <f t="shared" si="1"/>
        <v>139.375722543353</v>
      </c>
      <c r="L15">
        <f>K15*2.0624/10/2.0035</f>
        <v>14.3473167044378</v>
      </c>
    </row>
    <row r="16" spans="7:12">
      <c r="G16">
        <v>2</v>
      </c>
      <c r="H16" t="s">
        <v>82</v>
      </c>
      <c r="I16">
        <v>2733459</v>
      </c>
      <c r="J16">
        <f t="shared" si="0"/>
        <v>58.7909860098852</v>
      </c>
      <c r="K16">
        <f t="shared" si="1"/>
        <v>117.58197201977</v>
      </c>
      <c r="L16">
        <f>K16*2.0624/10/2.0035</f>
        <v>12.1038711801135</v>
      </c>
    </row>
    <row r="18" spans="8:8">
      <c r="H18" t="s">
        <v>83</v>
      </c>
    </row>
    <row r="19" spans="7:18">
      <c r="G19">
        <v>1</v>
      </c>
      <c r="H19" t="s">
        <v>7</v>
      </c>
      <c r="I19">
        <v>2305300</v>
      </c>
      <c r="J19">
        <f>(I19+73693)/47748</f>
        <v>49.8239297981067</v>
      </c>
      <c r="K19">
        <f>J19*G19</f>
        <v>49.8239297981067</v>
      </c>
      <c r="L19">
        <f>K19*2.0624/10/2.0017</f>
        <v>5.13348018262553</v>
      </c>
      <c r="M19">
        <f>AVERAGE(L19:L21)</f>
        <v>5.11979014257975</v>
      </c>
      <c r="N19">
        <f>_xlfn.STDEV.S(L19:L21)</f>
        <v>0.0721878040217749</v>
      </c>
      <c r="P19">
        <v>5</v>
      </c>
      <c r="Q19">
        <v>5.11979014257975</v>
      </c>
      <c r="R19">
        <v>0.0721878040217749</v>
      </c>
    </row>
    <row r="20" spans="7:18">
      <c r="G20">
        <v>1</v>
      </c>
      <c r="H20" t="s">
        <v>8</v>
      </c>
      <c r="I20">
        <v>2328783</v>
      </c>
      <c r="J20">
        <f t="shared" si="0"/>
        <v>50.3157409734439</v>
      </c>
      <c r="K20">
        <f t="shared" ref="K20:K41" si="2">J20*G20</f>
        <v>50.3157409734439</v>
      </c>
      <c r="L20">
        <f>K20*2.0624/10/2.0017</f>
        <v>5.18415267940404</v>
      </c>
      <c r="P20">
        <v>10</v>
      </c>
      <c r="Q20">
        <v>5.023870876216</v>
      </c>
      <c r="R20">
        <v>0.0721975558043977</v>
      </c>
    </row>
    <row r="21" spans="7:18">
      <c r="G21">
        <v>1</v>
      </c>
      <c r="H21" t="s">
        <v>9</v>
      </c>
      <c r="I21">
        <v>2262784</v>
      </c>
      <c r="J21">
        <f t="shared" si="0"/>
        <v>48.9335050682751</v>
      </c>
      <c r="K21">
        <f t="shared" si="2"/>
        <v>48.9335050682751</v>
      </c>
      <c r="L21">
        <f>K21*2.0624/10/2.0017</f>
        <v>5.04173756570968</v>
      </c>
      <c r="P21">
        <v>15</v>
      </c>
      <c r="Q21">
        <v>4.93425181538385</v>
      </c>
      <c r="R21">
        <v>0.0998282736377732</v>
      </c>
    </row>
    <row r="22" spans="7:18">
      <c r="G22">
        <v>1</v>
      </c>
      <c r="H22" t="s">
        <v>10</v>
      </c>
      <c r="I22">
        <v>2292279</v>
      </c>
      <c r="J22">
        <f t="shared" si="0"/>
        <v>49.5512272765351</v>
      </c>
      <c r="K22">
        <f t="shared" si="2"/>
        <v>49.5512272765351</v>
      </c>
      <c r="L22">
        <f>K22*2.0624/10/2.0066</f>
        <v>5.09291593417353</v>
      </c>
      <c r="M22">
        <f>AVERAGE(L22:L24)</f>
        <v>5.023870876216</v>
      </c>
      <c r="N22">
        <f>_xlfn.STDEV.S(L22:L24)</f>
        <v>0.0721975558043977</v>
      </c>
      <c r="P22">
        <v>20</v>
      </c>
      <c r="Q22">
        <v>5.11087118517285</v>
      </c>
      <c r="R22">
        <v>0.163024821665531</v>
      </c>
    </row>
    <row r="23" spans="7:18">
      <c r="G23">
        <v>1</v>
      </c>
      <c r="H23" t="s">
        <v>11</v>
      </c>
      <c r="I23">
        <v>2262962</v>
      </c>
      <c r="J23">
        <f t="shared" si="0"/>
        <v>48.9372329731088</v>
      </c>
      <c r="K23">
        <f t="shared" si="2"/>
        <v>48.9372329731088</v>
      </c>
      <c r="L23">
        <f>K23*2.0624/10/2.0066</f>
        <v>5.0298090941762</v>
      </c>
      <c r="P23">
        <v>25</v>
      </c>
      <c r="Q23">
        <v>5.41322523028272</v>
      </c>
      <c r="R23">
        <v>0.378345372580047</v>
      </c>
    </row>
    <row r="24" spans="7:18">
      <c r="G24">
        <v>1</v>
      </c>
      <c r="H24" t="s">
        <v>12</v>
      </c>
      <c r="I24">
        <v>2225369</v>
      </c>
      <c r="J24">
        <f t="shared" si="0"/>
        <v>48.1499120382006</v>
      </c>
      <c r="K24">
        <f t="shared" si="2"/>
        <v>48.1499120382006</v>
      </c>
      <c r="L24">
        <f>K24*2.0624/10/2.0066</f>
        <v>4.94888760029826</v>
      </c>
      <c r="P24">
        <v>30</v>
      </c>
      <c r="Q24">
        <v>5.11166775345903</v>
      </c>
      <c r="R24">
        <v>0.100336909945842</v>
      </c>
    </row>
    <row r="25" spans="7:18">
      <c r="G25">
        <v>1</v>
      </c>
      <c r="H25" s="3" t="s">
        <v>13</v>
      </c>
      <c r="I25">
        <v>2183589</v>
      </c>
      <c r="J25">
        <f t="shared" si="0"/>
        <v>47.2749015665578</v>
      </c>
      <c r="K25">
        <f t="shared" si="2"/>
        <v>47.2749015665578</v>
      </c>
      <c r="L25">
        <f>K25*2.0624/10/2.0026</f>
        <v>4.86865859337205</v>
      </c>
      <c r="M25">
        <f>AVERAGE(L25:L27)</f>
        <v>4.93425181538385</v>
      </c>
      <c r="N25">
        <f>_xlfn.STDEV.S(L25:L27)</f>
        <v>0.0998282736377732</v>
      </c>
      <c r="P25">
        <v>35</v>
      </c>
      <c r="Q25">
        <v>5.58791358539139</v>
      </c>
      <c r="R25">
        <v>0.555972319505067</v>
      </c>
    </row>
    <row r="26" spans="2:18">
      <c r="B26">
        <v>10</v>
      </c>
      <c r="C26">
        <v>248208</v>
      </c>
      <c r="G26">
        <v>1</v>
      </c>
      <c r="H26" s="3" t="s">
        <v>14</v>
      </c>
      <c r="I26">
        <v>2191146</v>
      </c>
      <c r="J26">
        <f t="shared" si="0"/>
        <v>47.4331699757058</v>
      </c>
      <c r="K26">
        <f t="shared" si="2"/>
        <v>47.4331699757058</v>
      </c>
      <c r="L26">
        <f>K26*2.0624/10/2.0026</f>
        <v>4.88495804243961</v>
      </c>
      <c r="P26">
        <v>40</v>
      </c>
      <c r="Q26">
        <v>5.92396029675332</v>
      </c>
      <c r="R26">
        <v>0.457789436662617</v>
      </c>
    </row>
    <row r="27" spans="2:18">
      <c r="B27">
        <v>50</v>
      </c>
      <c r="C27">
        <v>2421472</v>
      </c>
      <c r="G27">
        <v>1</v>
      </c>
      <c r="H27" s="3" t="s">
        <v>15</v>
      </c>
      <c r="I27">
        <v>2267266</v>
      </c>
      <c r="J27">
        <f t="shared" si="0"/>
        <v>49.0273728742565</v>
      </c>
      <c r="K27">
        <f t="shared" si="2"/>
        <v>49.0273728742565</v>
      </c>
      <c r="L27">
        <f>K27*2.0624/10/2.0026</f>
        <v>5.04913881033989</v>
      </c>
      <c r="P27">
        <v>45</v>
      </c>
      <c r="Q27">
        <v>5.77687277203306</v>
      </c>
      <c r="R27">
        <v>0.183043535358664</v>
      </c>
    </row>
    <row r="28" spans="2:18">
      <c r="B28">
        <v>100</v>
      </c>
      <c r="C28">
        <v>4692556</v>
      </c>
      <c r="G28">
        <v>1</v>
      </c>
      <c r="H28" t="s">
        <v>16</v>
      </c>
      <c r="I28">
        <v>2368826</v>
      </c>
      <c r="J28">
        <f t="shared" si="0"/>
        <v>51.1543729580297</v>
      </c>
      <c r="K28">
        <f t="shared" si="2"/>
        <v>51.1543729580297</v>
      </c>
      <c r="L28">
        <f>K28*2.0624/10/2.0026</f>
        <v>5.26819029205235</v>
      </c>
      <c r="M28">
        <f>AVERAGE(L28:L30)</f>
        <v>5.11087118517285</v>
      </c>
      <c r="N28">
        <f>_xlfn.STDEV.S(L28:L30)</f>
        <v>0.163024821665531</v>
      </c>
      <c r="P28">
        <v>50</v>
      </c>
      <c r="Q28">
        <v>6.49749896506614</v>
      </c>
      <c r="R28">
        <v>0.573188746085538</v>
      </c>
    </row>
    <row r="29" spans="7:18">
      <c r="G29">
        <v>1</v>
      </c>
      <c r="H29" t="s">
        <v>17</v>
      </c>
      <c r="I29">
        <v>2217910</v>
      </c>
      <c r="J29">
        <f t="shared" si="0"/>
        <v>47.9936960710396</v>
      </c>
      <c r="K29">
        <f t="shared" si="2"/>
        <v>47.9936960710396</v>
      </c>
      <c r="L29">
        <f>K29*2.0624/10/2.0026</f>
        <v>4.94268444906182</v>
      </c>
      <c r="P29">
        <v>55</v>
      </c>
      <c r="Q29">
        <v>7.28693085783712</v>
      </c>
      <c r="R29">
        <v>0.396857459402314</v>
      </c>
    </row>
    <row r="30" spans="7:18">
      <c r="G30">
        <v>1</v>
      </c>
      <c r="H30" t="s">
        <v>18</v>
      </c>
      <c r="I30">
        <v>2302586</v>
      </c>
      <c r="J30">
        <f t="shared" si="0"/>
        <v>49.7670897210354</v>
      </c>
      <c r="K30">
        <f>J30*G28</f>
        <v>49.7670897210354</v>
      </c>
      <c r="L30">
        <f>K30*2.0624/10/2.004</f>
        <v>5.12173881440436</v>
      </c>
      <c r="P30">
        <v>60</v>
      </c>
      <c r="Q30">
        <v>7.65695332018937</v>
      </c>
      <c r="R30">
        <v>0.286239817954431</v>
      </c>
    </row>
    <row r="31" spans="7:18">
      <c r="G31">
        <v>1</v>
      </c>
      <c r="H31" t="s">
        <v>19</v>
      </c>
      <c r="I31">
        <v>2633164</v>
      </c>
      <c r="J31">
        <f t="shared" si="0"/>
        <v>56.6904791823741</v>
      </c>
      <c r="K31">
        <f t="shared" si="2"/>
        <v>56.6904791823741</v>
      </c>
      <c r="L31">
        <f>K31*2.0624/10/2.0065</f>
        <v>5.82698451361716</v>
      </c>
      <c r="M31">
        <f>AVERAGE(L31:L33)</f>
        <v>5.41322523028272</v>
      </c>
      <c r="N31">
        <f>_xlfn.STDEV.S(L31:L33)</f>
        <v>0.378345372580047</v>
      </c>
      <c r="P31">
        <v>65</v>
      </c>
      <c r="Q31">
        <v>7.5146293655977</v>
      </c>
      <c r="R31">
        <v>0.350663506594123</v>
      </c>
    </row>
    <row r="32" spans="7:18">
      <c r="G32">
        <v>1</v>
      </c>
      <c r="H32" t="s">
        <v>20</v>
      </c>
      <c r="I32">
        <v>2288440</v>
      </c>
      <c r="J32">
        <f t="shared" si="0"/>
        <v>49.4708260031834</v>
      </c>
      <c r="K32">
        <f t="shared" si="2"/>
        <v>49.4708260031834</v>
      </c>
      <c r="L32">
        <f>K32*2.0624/10/2.0065</f>
        <v>5.08490563413732</v>
      </c>
      <c r="P32">
        <v>70</v>
      </c>
      <c r="Q32">
        <v>8.07967677143338</v>
      </c>
      <c r="R32">
        <v>0.743291180939373</v>
      </c>
    </row>
    <row r="33" spans="7:18">
      <c r="G33">
        <v>1</v>
      </c>
      <c r="H33" t="s">
        <v>21</v>
      </c>
      <c r="I33">
        <v>2401267</v>
      </c>
      <c r="J33">
        <f t="shared" si="0"/>
        <v>51.8337940856161</v>
      </c>
      <c r="K33">
        <f t="shared" si="2"/>
        <v>51.8337940856161</v>
      </c>
      <c r="L33">
        <f>K33*2.0624/10/2.0065</f>
        <v>5.32778554309368</v>
      </c>
      <c r="P33">
        <v>75</v>
      </c>
      <c r="Q33">
        <v>6.59739452412172</v>
      </c>
      <c r="R33">
        <v>0.174302379578875</v>
      </c>
    </row>
    <row r="34" spans="7:18">
      <c r="G34">
        <v>1</v>
      </c>
      <c r="H34" t="s">
        <v>22</v>
      </c>
      <c r="I34">
        <v>2301931</v>
      </c>
      <c r="J34">
        <f t="shared" si="0"/>
        <v>49.7533718689788</v>
      </c>
      <c r="K34">
        <f t="shared" si="2"/>
        <v>49.7533718689788</v>
      </c>
      <c r="L34">
        <f>K34*2.0624/10/2.003</f>
        <v>5.12288338205601</v>
      </c>
      <c r="M34">
        <f>AVERAGE(L34:L36)</f>
        <v>5.11166775345903</v>
      </c>
      <c r="N34">
        <f>_xlfn.STDEV.S(L34:L36)</f>
        <v>0.100336909945842</v>
      </c>
      <c r="P34">
        <v>80</v>
      </c>
      <c r="Q34">
        <v>6.4328477880615</v>
      </c>
      <c r="R34">
        <v>0.445638230391219</v>
      </c>
    </row>
    <row r="35" spans="7:12">
      <c r="G35">
        <v>1</v>
      </c>
      <c r="H35" t="s">
        <v>23</v>
      </c>
      <c r="I35">
        <v>2340440</v>
      </c>
      <c r="J35">
        <f t="shared" si="0"/>
        <v>50.5598768534808</v>
      </c>
      <c r="K35">
        <f t="shared" si="2"/>
        <v>50.5598768534808</v>
      </c>
      <c r="L35">
        <f>K35*2.0624/10/2.003</f>
        <v>5.20592561271187</v>
      </c>
    </row>
    <row r="36" spans="7:12">
      <c r="G36">
        <v>1</v>
      </c>
      <c r="H36" t="s">
        <v>24</v>
      </c>
      <c r="I36">
        <v>2247819</v>
      </c>
      <c r="J36">
        <f t="shared" si="0"/>
        <v>48.6200887995309</v>
      </c>
      <c r="K36">
        <f t="shared" si="2"/>
        <v>48.6200887995309</v>
      </c>
      <c r="L36">
        <f>K36*2.0624/10/2.003</f>
        <v>5.00619426560921</v>
      </c>
    </row>
    <row r="37" spans="7:14">
      <c r="G37">
        <v>1</v>
      </c>
      <c r="H37" s="3" t="s">
        <v>25</v>
      </c>
      <c r="I37">
        <v>2819503</v>
      </c>
      <c r="J37">
        <f t="shared" si="0"/>
        <v>60.5930300745581</v>
      </c>
      <c r="K37">
        <f t="shared" si="2"/>
        <v>60.5930300745581</v>
      </c>
      <c r="L37">
        <f>K37*2.0624/10/2.0059</f>
        <v>6.22997483552363</v>
      </c>
      <c r="M37">
        <f>AVERAGE(L37:L41)</f>
        <v>5.58791358539139</v>
      </c>
      <c r="N37">
        <f>_xlfn.STDEV.S(L37:L41)</f>
        <v>0.555972319505067</v>
      </c>
    </row>
    <row r="38" spans="7:12">
      <c r="G38">
        <v>1</v>
      </c>
      <c r="H38" s="3" t="s">
        <v>26</v>
      </c>
      <c r="I38">
        <v>2273671</v>
      </c>
      <c r="J38">
        <f t="shared" si="0"/>
        <v>49.1615146184133</v>
      </c>
      <c r="K38">
        <f t="shared" si="2"/>
        <v>49.1615146184133</v>
      </c>
      <c r="L38">
        <f>K38*2.0624/10/2.0059</f>
        <v>5.0546242459253</v>
      </c>
    </row>
    <row r="39" spans="7:12">
      <c r="G39">
        <v>1</v>
      </c>
      <c r="H39" s="3" t="s">
        <v>27</v>
      </c>
      <c r="I39">
        <v>2321821</v>
      </c>
      <c r="J39">
        <f t="shared" si="0"/>
        <v>50.1699338192176</v>
      </c>
      <c r="K39">
        <f t="shared" si="2"/>
        <v>50.1699338192176</v>
      </c>
      <c r="L39">
        <f>K39*2.0624/10/2.0059</f>
        <v>5.15830657105311</v>
      </c>
    </row>
    <row r="40" spans="7:12">
      <c r="G40">
        <v>1</v>
      </c>
      <c r="H40" s="3" t="s">
        <v>84</v>
      </c>
      <c r="I40">
        <v>2414846</v>
      </c>
      <c r="J40">
        <f t="shared" si="0"/>
        <v>52.1181829605429</v>
      </c>
      <c r="K40">
        <f t="shared" si="2"/>
        <v>52.1181829605429</v>
      </c>
      <c r="L40">
        <f>K40*2.0624/10/2.0059</f>
        <v>5.35861910054457</v>
      </c>
    </row>
    <row r="41" spans="7:12">
      <c r="G41">
        <v>1</v>
      </c>
      <c r="H41" s="3" t="s">
        <v>85</v>
      </c>
      <c r="I41">
        <v>2776810</v>
      </c>
      <c r="J41">
        <f t="shared" si="0"/>
        <v>59.6988983831784</v>
      </c>
      <c r="K41">
        <f t="shared" si="2"/>
        <v>59.6988983831784</v>
      </c>
      <c r="L41">
        <f>K41*2.0624/10/2.0059</f>
        <v>6.13804317391032</v>
      </c>
    </row>
    <row r="42" spans="7:14">
      <c r="G42">
        <v>1</v>
      </c>
      <c r="H42" s="3" t="s">
        <v>28</v>
      </c>
      <c r="I42">
        <v>2869260</v>
      </c>
      <c r="J42">
        <f t="shared" ref="J42:J59" si="3">(I42+73693)/47748</f>
        <v>61.6351051352936</v>
      </c>
      <c r="K42">
        <f t="shared" ref="K42:K59" si="4">J42*G42</f>
        <v>61.6351051352936</v>
      </c>
      <c r="L42">
        <f>K42*2.0624/10/2.0082</f>
        <v>6.32985961712128</v>
      </c>
      <c r="M42">
        <f>AVERAGE(L42:L45)</f>
        <v>5.92396029675332</v>
      </c>
      <c r="N42">
        <f>_xlfn.STDEV.S(L42:L45)</f>
        <v>0.457789436662617</v>
      </c>
    </row>
    <row r="43" spans="7:12">
      <c r="G43">
        <v>1</v>
      </c>
      <c r="H43" s="3" t="s">
        <v>29</v>
      </c>
      <c r="I43">
        <v>2451865</v>
      </c>
      <c r="J43">
        <f t="shared" si="3"/>
        <v>52.8934824495267</v>
      </c>
      <c r="K43">
        <f t="shared" si="4"/>
        <v>52.8934824495267</v>
      </c>
      <c r="L43">
        <f>K43*2.0624/10/2.0082</f>
        <v>5.43210428263638</v>
      </c>
    </row>
    <row r="44" spans="7:12">
      <c r="G44">
        <v>1</v>
      </c>
      <c r="H44" s="3" t="s">
        <v>30</v>
      </c>
      <c r="I44">
        <v>2546908</v>
      </c>
      <c r="J44">
        <f t="shared" si="3"/>
        <v>54.8839951411577</v>
      </c>
      <c r="K44">
        <f t="shared" si="4"/>
        <v>54.8839951411577</v>
      </c>
      <c r="L44">
        <f>K44*2.0624/10/2.0082</f>
        <v>5.63652781491503</v>
      </c>
    </row>
    <row r="45" spans="7:12">
      <c r="G45">
        <v>1</v>
      </c>
      <c r="H45" s="3" t="s">
        <v>86</v>
      </c>
      <c r="I45">
        <v>2854145</v>
      </c>
      <c r="J45">
        <f t="shared" si="3"/>
        <v>61.318547373712</v>
      </c>
      <c r="K45">
        <f t="shared" si="4"/>
        <v>61.318547373712</v>
      </c>
      <c r="L45">
        <f>K45*2.0624/10/2.0082</f>
        <v>6.29734947234058</v>
      </c>
    </row>
    <row r="46" spans="7:14">
      <c r="G46">
        <v>1</v>
      </c>
      <c r="H46" t="s">
        <v>31</v>
      </c>
      <c r="I46">
        <v>2626190</v>
      </c>
      <c r="J46">
        <f t="shared" si="3"/>
        <v>56.5444207087208</v>
      </c>
      <c r="K46">
        <f t="shared" si="4"/>
        <v>56.5444207087208</v>
      </c>
      <c r="L46">
        <f>K46*2.0624/10/2.0053</f>
        <v>5.81544972172073</v>
      </c>
      <c r="M46">
        <f>AVERAGE(L46:L49)</f>
        <v>5.77687277203306</v>
      </c>
      <c r="N46">
        <f>_xlfn.STDEV.S(L46:L49)</f>
        <v>0.183043535358664</v>
      </c>
    </row>
    <row r="47" spans="2:12">
      <c r="B47">
        <v>10</v>
      </c>
      <c r="C47">
        <v>248208</v>
      </c>
      <c r="G47">
        <v>1</v>
      </c>
      <c r="H47" t="s">
        <v>32</v>
      </c>
      <c r="I47">
        <v>2716008</v>
      </c>
      <c r="J47">
        <f t="shared" si="3"/>
        <v>58.4255047331825</v>
      </c>
      <c r="K47">
        <f t="shared" si="4"/>
        <v>58.4255047331825</v>
      </c>
      <c r="L47">
        <f>K47*2.0624/10/2.0053</f>
        <v>6.0089144248599</v>
      </c>
    </row>
    <row r="48" spans="2:12">
      <c r="B48">
        <v>50</v>
      </c>
      <c r="C48">
        <v>3201575</v>
      </c>
      <c r="G48">
        <v>1</v>
      </c>
      <c r="H48" t="s">
        <v>33</v>
      </c>
      <c r="I48">
        <v>2515078</v>
      </c>
      <c r="J48">
        <f t="shared" si="3"/>
        <v>54.2173703610622</v>
      </c>
      <c r="K48">
        <f t="shared" si="4"/>
        <v>54.2173703610622</v>
      </c>
      <c r="L48">
        <f>K48*2.0624/10/2.0053</f>
        <v>5.5761185175612</v>
      </c>
    </row>
    <row r="49" spans="2:12">
      <c r="B49">
        <v>100</v>
      </c>
      <c r="C49">
        <v>4692556</v>
      </c>
      <c r="G49">
        <v>1</v>
      </c>
      <c r="H49" t="s">
        <v>87</v>
      </c>
      <c r="I49">
        <v>2575845</v>
      </c>
      <c r="J49">
        <f t="shared" si="3"/>
        <v>55.4900309960627</v>
      </c>
      <c r="K49">
        <f t="shared" si="4"/>
        <v>55.4900309960627</v>
      </c>
      <c r="L49">
        <f>K49*2.0624/10/2.0053</f>
        <v>5.70700842399041</v>
      </c>
    </row>
    <row r="50" spans="7:14">
      <c r="G50">
        <v>1</v>
      </c>
      <c r="H50" t="s">
        <v>34</v>
      </c>
      <c r="I50">
        <v>2619467</v>
      </c>
      <c r="J50">
        <f t="shared" si="3"/>
        <v>56.4036189997487</v>
      </c>
      <c r="K50">
        <f t="shared" si="4"/>
        <v>56.4036189997487</v>
      </c>
      <c r="L50">
        <f>K50*2.0624/10/2.0035</f>
        <v>5.80618037559679</v>
      </c>
      <c r="M50">
        <f>AVERAGE(L50:L53)</f>
        <v>6.49749896506614</v>
      </c>
      <c r="N50">
        <f>_xlfn.STDEV.S(L50:L53)</f>
        <v>0.573188746085538</v>
      </c>
    </row>
    <row r="51" spans="7:12">
      <c r="G51">
        <v>1</v>
      </c>
      <c r="H51" t="s">
        <v>35</v>
      </c>
      <c r="I51">
        <v>3260556</v>
      </c>
      <c r="J51">
        <f t="shared" si="3"/>
        <v>69.8301290106392</v>
      </c>
      <c r="K51">
        <f t="shared" si="4"/>
        <v>69.8301290106392</v>
      </c>
      <c r="L51">
        <f>K51*2.0624/10/2.0035</f>
        <v>7.18830337267493</v>
      </c>
    </row>
    <row r="52" spans="7:12">
      <c r="G52">
        <v>1</v>
      </c>
      <c r="H52" t="s">
        <v>36</v>
      </c>
      <c r="I52">
        <v>2997534</v>
      </c>
      <c r="J52">
        <f t="shared" si="3"/>
        <v>64.3215841501215</v>
      </c>
      <c r="K52">
        <f t="shared" si="4"/>
        <v>64.3215841501215</v>
      </c>
      <c r="L52">
        <f>K52*2.0624/10/2.0035</f>
        <v>6.62125456207689</v>
      </c>
    </row>
    <row r="53" spans="7:12">
      <c r="G53">
        <v>1</v>
      </c>
      <c r="H53" t="s">
        <v>88</v>
      </c>
      <c r="I53">
        <v>2882966</v>
      </c>
      <c r="J53">
        <f t="shared" si="3"/>
        <v>61.9221538074893</v>
      </c>
      <c r="K53">
        <f t="shared" si="4"/>
        <v>61.9221538074893</v>
      </c>
      <c r="L53">
        <f>K53*2.0624/10/2.0035</f>
        <v>6.37425754991594</v>
      </c>
    </row>
    <row r="54" spans="7:14">
      <c r="G54">
        <v>1</v>
      </c>
      <c r="H54" t="s">
        <v>37</v>
      </c>
      <c r="I54">
        <v>3167815</v>
      </c>
      <c r="J54">
        <f t="shared" si="3"/>
        <v>67.8878277624194</v>
      </c>
      <c r="K54">
        <f t="shared" si="4"/>
        <v>67.8878277624194</v>
      </c>
      <c r="L54">
        <f>K54*2.0624/10/2.0042</f>
        <v>6.98592236190069</v>
      </c>
      <c r="M54">
        <f>AVERAGE(L54:L56)</f>
        <v>7.28693085783712</v>
      </c>
      <c r="N54">
        <f>_xlfn.STDEV.S(L54:L56)</f>
        <v>0.396857459402314</v>
      </c>
    </row>
    <row r="55" spans="7:12">
      <c r="G55">
        <v>1</v>
      </c>
      <c r="H55" t="s">
        <v>38</v>
      </c>
      <c r="I55">
        <v>3516166</v>
      </c>
      <c r="J55">
        <f t="shared" si="3"/>
        <v>75.1834422384184</v>
      </c>
      <c r="K55">
        <f t="shared" si="4"/>
        <v>75.1834422384184</v>
      </c>
      <c r="L55">
        <f>K55*2.0624/10/2.0042</f>
        <v>7.73666955755484</v>
      </c>
    </row>
    <row r="56" spans="7:12">
      <c r="G56">
        <v>1</v>
      </c>
      <c r="H56" t="s">
        <v>39</v>
      </c>
      <c r="I56">
        <v>3238473</v>
      </c>
      <c r="J56">
        <f t="shared" si="3"/>
        <v>69.3676384351177</v>
      </c>
      <c r="K56">
        <f t="shared" si="4"/>
        <v>69.3676384351177</v>
      </c>
      <c r="L56">
        <f>K56*2.0624/10/2.0042</f>
        <v>7.13820065405582</v>
      </c>
    </row>
    <row r="57" spans="7:14">
      <c r="G57">
        <v>1</v>
      </c>
      <c r="H57" t="s">
        <v>40</v>
      </c>
      <c r="I57">
        <v>3530418</v>
      </c>
      <c r="J57">
        <f t="shared" si="3"/>
        <v>75.4819259445422</v>
      </c>
      <c r="K57">
        <f t="shared" si="4"/>
        <v>75.4819259445422</v>
      </c>
      <c r="L57">
        <f>K57*2.0624/10/2.004</f>
        <v>7.76815988363392</v>
      </c>
      <c r="M57">
        <f>AVERAGE(L57:L59)</f>
        <v>7.65695332018937</v>
      </c>
      <c r="N57">
        <f>_xlfn.STDEV.S(L57:L59)</f>
        <v>0.286239817954431</v>
      </c>
    </row>
    <row r="58" spans="7:12">
      <c r="G58">
        <v>1</v>
      </c>
      <c r="H58" t="s">
        <v>41</v>
      </c>
      <c r="I58">
        <v>3578086</v>
      </c>
      <c r="J58">
        <f t="shared" si="3"/>
        <v>76.4802504816956</v>
      </c>
      <c r="K58">
        <f t="shared" si="4"/>
        <v>76.4802504816956</v>
      </c>
      <c r="L58">
        <f>K58*2.0624/10/2.004</f>
        <v>7.87090162641961</v>
      </c>
    </row>
    <row r="59" spans="7:12">
      <c r="G59">
        <v>1</v>
      </c>
      <c r="H59" t="s">
        <v>42</v>
      </c>
      <c r="I59">
        <v>3327964</v>
      </c>
      <c r="J59">
        <f t="shared" si="3"/>
        <v>71.2418740051939</v>
      </c>
      <c r="K59">
        <f t="shared" si="4"/>
        <v>71.2418740051939</v>
      </c>
      <c r="L59">
        <f>K59*2.0624/10/2.004</f>
        <v>7.33179845051457</v>
      </c>
    </row>
    <row r="61" spans="7:14">
      <c r="G61">
        <v>1</v>
      </c>
      <c r="H61" t="s">
        <v>43</v>
      </c>
      <c r="I61">
        <v>3245789</v>
      </c>
      <c r="J61">
        <f>(I61+170953)/49219</f>
        <v>69.4191673947053</v>
      </c>
      <c r="K61">
        <f t="shared" ref="K61:K95" si="5">J61*G61</f>
        <v>69.4191673947053</v>
      </c>
      <c r="L61">
        <f>K61*2.0624/10/2.0072</f>
        <v>7.13282636682145</v>
      </c>
      <c r="M61">
        <f>AVERAGE(L61:L64)</f>
        <v>7.5146293655977</v>
      </c>
      <c r="N61">
        <f>_xlfn.STDEV.S(L61:L64)</f>
        <v>0.350663506594123</v>
      </c>
    </row>
    <row r="62" spans="7:12">
      <c r="G62">
        <v>1</v>
      </c>
      <c r="H62" t="s">
        <v>44</v>
      </c>
      <c r="I62">
        <v>3643712</v>
      </c>
      <c r="J62">
        <f t="shared" ref="J62:J67" si="6">(I62+170953)/49219</f>
        <v>77.5039110912453</v>
      </c>
      <c r="K62">
        <f t="shared" si="5"/>
        <v>77.5039110912453</v>
      </c>
      <c r="L62">
        <f>K62*2.0624/10/2.0072</f>
        <v>7.96353458721523</v>
      </c>
    </row>
    <row r="63" spans="7:12">
      <c r="G63">
        <v>1</v>
      </c>
      <c r="H63" t="s">
        <v>45</v>
      </c>
      <c r="I63">
        <v>3459729</v>
      </c>
      <c r="J63">
        <f t="shared" si="6"/>
        <v>73.76586277657</v>
      </c>
      <c r="K63">
        <f t="shared" si="5"/>
        <v>73.76586277657</v>
      </c>
      <c r="L63">
        <f>K63*2.0624/10/2.0072</f>
        <v>7.57944975041839</v>
      </c>
    </row>
    <row r="64" spans="8:12">
      <c r="H64" t="s">
        <v>89</v>
      </c>
      <c r="L64">
        <v>7.38270675793574</v>
      </c>
    </row>
    <row r="65" spans="7:14">
      <c r="G65">
        <v>1</v>
      </c>
      <c r="H65" t="s">
        <v>47</v>
      </c>
      <c r="I65">
        <v>4192518</v>
      </c>
      <c r="J65">
        <f t="shared" si="6"/>
        <v>88.6541985818485</v>
      </c>
      <c r="K65">
        <f t="shared" si="5"/>
        <v>88.6541985818485</v>
      </c>
      <c r="L65">
        <f>K65*2.0624/10/2.0011</f>
        <v>9.13699561017462</v>
      </c>
      <c r="M65">
        <f>AVERAGE(L65:L68)</f>
        <v>8.07967677143338</v>
      </c>
      <c r="N65">
        <f>_xlfn.STDEV.S(L65:L68)</f>
        <v>0.743291180939373</v>
      </c>
    </row>
    <row r="66" spans="7:12">
      <c r="G66">
        <v>1</v>
      </c>
      <c r="H66" t="s">
        <v>54</v>
      </c>
      <c r="I66">
        <v>3632111</v>
      </c>
      <c r="J66">
        <f t="shared" si="6"/>
        <v>77.2682094313172</v>
      </c>
      <c r="K66">
        <f t="shared" si="5"/>
        <v>77.2682094313172</v>
      </c>
      <c r="L66">
        <f>K66*2.0624/10/2.0011</f>
        <v>7.96351782175546</v>
      </c>
    </row>
    <row r="67" spans="7:12">
      <c r="G67">
        <v>1</v>
      </c>
      <c r="H67" t="s">
        <v>55</v>
      </c>
      <c r="I67">
        <v>3560221</v>
      </c>
      <c r="J67">
        <f t="shared" si="6"/>
        <v>75.8075946280908</v>
      </c>
      <c r="K67">
        <f t="shared" si="5"/>
        <v>75.8075946280908</v>
      </c>
      <c r="L67">
        <f>K67*2.0624/10/2.0011</f>
        <v>7.81298201793885</v>
      </c>
    </row>
    <row r="68" spans="8:12">
      <c r="H68" t="s">
        <v>90</v>
      </c>
      <c r="L68">
        <v>7.40521163586458</v>
      </c>
    </row>
    <row r="69" spans="7:14">
      <c r="G69">
        <v>1</v>
      </c>
      <c r="H69" t="s">
        <v>48</v>
      </c>
      <c r="I69">
        <v>3296327</v>
      </c>
      <c r="J69">
        <f>(I69-123184)/48580</f>
        <v>65.3178880197612</v>
      </c>
      <c r="K69">
        <f t="shared" si="5"/>
        <v>65.3178880197612</v>
      </c>
      <c r="L69">
        <f>K69*2.0624/10/2.0073</f>
        <v>6.71108515179373</v>
      </c>
      <c r="M69">
        <f>AVERAGE(L69:L71)</f>
        <v>6.59739452412172</v>
      </c>
      <c r="N69">
        <f>_xlfn.STDEV.S(L69:L71)</f>
        <v>0.174302379578875</v>
      </c>
    </row>
    <row r="70" spans="7:12">
      <c r="G70">
        <v>1</v>
      </c>
      <c r="H70" t="s">
        <v>56</v>
      </c>
      <c r="I70">
        <v>3283700</v>
      </c>
      <c r="J70">
        <f t="shared" ref="J70:J95" si="7">(I70-123184)/48580</f>
        <v>65.0579662412515</v>
      </c>
      <c r="K70">
        <f t="shared" si="5"/>
        <v>65.0579662412515</v>
      </c>
      <c r="L70">
        <f>K70*2.0624/10/2.0073</f>
        <v>6.68437949364605</v>
      </c>
    </row>
    <row r="71" spans="7:12">
      <c r="G71">
        <v>1</v>
      </c>
      <c r="H71" t="s">
        <v>57</v>
      </c>
      <c r="I71">
        <v>3147688</v>
      </c>
      <c r="J71">
        <f t="shared" si="7"/>
        <v>62.2582132564841</v>
      </c>
      <c r="K71">
        <f t="shared" si="5"/>
        <v>62.2582132564841</v>
      </c>
      <c r="L71">
        <f>K71*2.0624/10/2.0073</f>
        <v>6.39671892692537</v>
      </c>
    </row>
    <row r="72" spans="7:14">
      <c r="G72">
        <v>1</v>
      </c>
      <c r="H72" t="s">
        <v>49</v>
      </c>
      <c r="I72">
        <v>3255862</v>
      </c>
      <c r="J72">
        <f t="shared" si="7"/>
        <v>64.484932070811</v>
      </c>
      <c r="K72">
        <f t="shared" si="5"/>
        <v>64.484932070811</v>
      </c>
      <c r="L72">
        <f>K72*2.0624/10/2.0048</f>
        <v>6.63376515876101</v>
      </c>
      <c r="M72">
        <f>AVERAGE(L72:L74)</f>
        <v>6.4328477880615</v>
      </c>
      <c r="N72">
        <f>_xlfn.STDEV.S(L72:L74)</f>
        <v>0.445638230391219</v>
      </c>
    </row>
    <row r="73" spans="7:12">
      <c r="G73">
        <v>1</v>
      </c>
      <c r="H73" t="s">
        <v>58</v>
      </c>
      <c r="I73">
        <v>2919802</v>
      </c>
      <c r="J73">
        <f t="shared" si="7"/>
        <v>57.5672704816797</v>
      </c>
      <c r="K73">
        <f t="shared" si="5"/>
        <v>57.5672704816797</v>
      </c>
      <c r="L73">
        <f>K73*2.0624/10/2.0048</f>
        <v>5.92212383486713</v>
      </c>
    </row>
    <row r="74" spans="7:12">
      <c r="G74">
        <v>1</v>
      </c>
      <c r="H74" t="s">
        <v>59</v>
      </c>
      <c r="I74">
        <v>3307283</v>
      </c>
      <c r="J74">
        <f t="shared" si="7"/>
        <v>65.5434129271305</v>
      </c>
      <c r="K74">
        <f t="shared" si="5"/>
        <v>65.5434129271305</v>
      </c>
      <c r="L74">
        <f>K74*2.0624/10/2.0048</f>
        <v>6.74265437055636</v>
      </c>
    </row>
    <row r="75" spans="7:12">
      <c r="G75">
        <v>1</v>
      </c>
      <c r="H75" t="s">
        <v>89</v>
      </c>
      <c r="I75">
        <v>3613710</v>
      </c>
      <c r="J75">
        <f t="shared" si="7"/>
        <v>71.851090983944</v>
      </c>
      <c r="K75">
        <f t="shared" si="5"/>
        <v>71.851090983944</v>
      </c>
      <c r="L75">
        <f>K75*2.0624/10/2.0072</f>
        <v>7.38270675793574</v>
      </c>
    </row>
    <row r="76" spans="7:12">
      <c r="G76">
        <v>1</v>
      </c>
      <c r="H76" t="s">
        <v>90</v>
      </c>
      <c r="I76">
        <v>3613710</v>
      </c>
      <c r="J76">
        <f t="shared" si="7"/>
        <v>71.851090983944</v>
      </c>
      <c r="K76">
        <f t="shared" si="5"/>
        <v>71.851090983944</v>
      </c>
      <c r="L76">
        <f>K76*2.0624/10/2.0011</f>
        <v>7.40521163586458</v>
      </c>
    </row>
    <row r="77" spans="7:18">
      <c r="G77">
        <v>1</v>
      </c>
      <c r="H77" t="s">
        <v>91</v>
      </c>
      <c r="I77">
        <v>2110844</v>
      </c>
      <c r="J77">
        <f t="shared" si="7"/>
        <v>40.9151914368053</v>
      </c>
      <c r="K77">
        <f t="shared" si="5"/>
        <v>40.9151914368053</v>
      </c>
      <c r="L77">
        <f>K77*2.0624/10/2.0069</f>
        <v>4.20466843486308</v>
      </c>
      <c r="M77">
        <f>AVERAGE(L77:L79)</f>
        <v>4.40171665473343</v>
      </c>
      <c r="N77">
        <f>_xlfn.STDEV.S(L77:L79)</f>
        <v>0.269957878468234</v>
      </c>
      <c r="P77" t="s">
        <v>92</v>
      </c>
      <c r="Q77">
        <v>4.40171665473343</v>
      </c>
      <c r="R77">
        <v>0.269957878468234</v>
      </c>
    </row>
    <row r="78" spans="7:18">
      <c r="G78">
        <v>1</v>
      </c>
      <c r="H78" t="s">
        <v>93</v>
      </c>
      <c r="I78">
        <v>2151684</v>
      </c>
      <c r="J78">
        <f t="shared" si="7"/>
        <v>41.7558666117744</v>
      </c>
      <c r="K78">
        <f t="shared" si="5"/>
        <v>41.7558666117744</v>
      </c>
      <c r="L78">
        <f>K78*2.0624/10/2.0069</f>
        <v>4.29106080522814</v>
      </c>
      <c r="P78" t="s">
        <v>94</v>
      </c>
      <c r="Q78">
        <v>4.66261366523161</v>
      </c>
      <c r="R78">
        <v>0.295342994460314</v>
      </c>
    </row>
    <row r="79" spans="7:18">
      <c r="G79">
        <v>1</v>
      </c>
      <c r="H79" t="s">
        <v>95</v>
      </c>
      <c r="I79">
        <v>2349454</v>
      </c>
      <c r="J79">
        <f t="shared" si="7"/>
        <v>45.8268834911486</v>
      </c>
      <c r="K79">
        <f t="shared" si="5"/>
        <v>45.8268834911486</v>
      </c>
      <c r="L79">
        <f>K79*2.0624/10/2.0069</f>
        <v>4.70942072410907</v>
      </c>
      <c r="P79" t="s">
        <v>96</v>
      </c>
      <c r="Q79">
        <v>4.64303386953989</v>
      </c>
      <c r="R79">
        <v>0.135967054427694</v>
      </c>
    </row>
    <row r="80" spans="7:18">
      <c r="G80">
        <v>1</v>
      </c>
      <c r="H80" t="s">
        <v>97</v>
      </c>
      <c r="I80">
        <v>2458966</v>
      </c>
      <c r="J80">
        <f t="shared" si="7"/>
        <v>48.0811445039111</v>
      </c>
      <c r="K80">
        <f t="shared" si="5"/>
        <v>48.0811445039111</v>
      </c>
      <c r="L80">
        <f>K80*2.0624/10/2.0032</f>
        <v>4.95020728957998</v>
      </c>
      <c r="M80">
        <f>AVERAGE(L80:L82)</f>
        <v>4.66261366523161</v>
      </c>
      <c r="N80">
        <f>_xlfn.STDEV.S(L80:L82)</f>
        <v>0.295342994460314</v>
      </c>
      <c r="P80" t="s">
        <v>98</v>
      </c>
      <c r="Q80">
        <v>6.48497590578846</v>
      </c>
      <c r="R80">
        <v>0.278557051107116</v>
      </c>
    </row>
    <row r="81" spans="7:18">
      <c r="G81">
        <v>1</v>
      </c>
      <c r="H81" t="s">
        <v>99</v>
      </c>
      <c r="I81">
        <v>2329538</v>
      </c>
      <c r="J81">
        <f t="shared" si="7"/>
        <v>45.4169205434335</v>
      </c>
      <c r="K81">
        <f t="shared" si="5"/>
        <v>45.4169205434335</v>
      </c>
      <c r="L81">
        <f>K81*2.0624/10/2.0025</f>
        <v>4.67754591404631</v>
      </c>
      <c r="P81" t="s">
        <v>100</v>
      </c>
      <c r="Q81">
        <v>27.261004470333</v>
      </c>
      <c r="R81">
        <v>0.0944768739746637</v>
      </c>
    </row>
    <row r="82" spans="7:18">
      <c r="G82">
        <v>1</v>
      </c>
      <c r="H82" t="s">
        <v>101</v>
      </c>
      <c r="I82">
        <v>2183596</v>
      </c>
      <c r="J82">
        <f t="shared" si="7"/>
        <v>42.4127624536846</v>
      </c>
      <c r="K82">
        <f t="shared" si="5"/>
        <v>42.4127624536846</v>
      </c>
      <c r="L82">
        <f>K82*2.0624/10/2.0062</f>
        <v>4.36008779206855</v>
      </c>
      <c r="P82" t="s">
        <v>102</v>
      </c>
      <c r="Q82">
        <v>34.4635569995555</v>
      </c>
      <c r="R82">
        <v>1.69504880956474</v>
      </c>
    </row>
    <row r="83" spans="7:14">
      <c r="G83">
        <v>1</v>
      </c>
      <c r="H83" t="s">
        <v>103</v>
      </c>
      <c r="I83">
        <v>2283819</v>
      </c>
      <c r="J83">
        <f t="shared" si="7"/>
        <v>44.4758130918073</v>
      </c>
      <c r="K83">
        <f t="shared" si="5"/>
        <v>44.4758130918073</v>
      </c>
      <c r="L83">
        <f>K83*2.0624/10/2.0035</f>
        <v>4.57833376194377</v>
      </c>
      <c r="M83">
        <f>AVERAGE(L83:L85)</f>
        <v>4.64303386953989</v>
      </c>
      <c r="N83">
        <f>_xlfn.STDEV.S(L83:L85)</f>
        <v>0.135967054427694</v>
      </c>
    </row>
    <row r="84" spans="7:12">
      <c r="G84">
        <v>1</v>
      </c>
      <c r="H84" t="s">
        <v>104</v>
      </c>
      <c r="I84">
        <v>2388084</v>
      </c>
      <c r="J84">
        <f t="shared" si="7"/>
        <v>46.6220666941128</v>
      </c>
      <c r="K84">
        <f t="shared" si="5"/>
        <v>46.6220666941128</v>
      </c>
      <c r="L84">
        <f>K84*2.0624/10/2.0035</f>
        <v>4.79926879710198</v>
      </c>
    </row>
    <row r="85" spans="7:12">
      <c r="G85">
        <v>1</v>
      </c>
      <c r="H85" t="s">
        <v>105</v>
      </c>
      <c r="I85">
        <v>2271155</v>
      </c>
      <c r="J85">
        <f t="shared" si="7"/>
        <v>44.2151296829971</v>
      </c>
      <c r="K85">
        <f t="shared" si="5"/>
        <v>44.2151296829971</v>
      </c>
      <c r="L85">
        <f>K85*2.0624/10/2.0035</f>
        <v>4.55149904957391</v>
      </c>
    </row>
    <row r="86" spans="7:14">
      <c r="G86">
        <v>1</v>
      </c>
      <c r="H86" t="s">
        <v>106</v>
      </c>
      <c r="I86">
        <v>3021464</v>
      </c>
      <c r="J86">
        <f t="shared" si="7"/>
        <v>59.6599423631124</v>
      </c>
      <c r="K86">
        <f t="shared" si="5"/>
        <v>59.6599423631124</v>
      </c>
      <c r="L86">
        <f>K86*2.0624/10/2.0053</f>
        <v>6.13587319252396</v>
      </c>
      <c r="M86">
        <f>AVERAGE(L86:L89)</f>
        <v>6.48497590578846</v>
      </c>
      <c r="N86">
        <f>_xlfn.STDEV.S(L86:L89)</f>
        <v>0.278557051107116</v>
      </c>
    </row>
    <row r="87" spans="7:12">
      <c r="G87">
        <v>1</v>
      </c>
      <c r="H87" t="s">
        <v>107</v>
      </c>
      <c r="I87">
        <v>3333192</v>
      </c>
      <c r="J87">
        <f t="shared" si="7"/>
        <v>66.0767393989296</v>
      </c>
      <c r="K87">
        <f t="shared" si="5"/>
        <v>66.0767393989296</v>
      </c>
      <c r="L87">
        <f>K87*2.0624/10/2</f>
        <v>6.81383336681762</v>
      </c>
    </row>
    <row r="88" spans="7:12">
      <c r="G88">
        <v>1</v>
      </c>
      <c r="H88" t="s">
        <v>108</v>
      </c>
      <c r="I88">
        <v>3199881</v>
      </c>
      <c r="J88">
        <f t="shared" si="7"/>
        <v>63.3325854261013</v>
      </c>
      <c r="K88">
        <f t="shared" si="5"/>
        <v>63.3325854261013</v>
      </c>
      <c r="L88">
        <f>K88*2.0624/10/2</f>
        <v>6.53085620913956</v>
      </c>
    </row>
    <row r="89" spans="7:12">
      <c r="G89">
        <v>1</v>
      </c>
      <c r="H89" t="s">
        <v>108</v>
      </c>
      <c r="I89">
        <v>3166190</v>
      </c>
      <c r="J89">
        <f t="shared" si="7"/>
        <v>62.6390695759572</v>
      </c>
      <c r="K89">
        <f t="shared" si="5"/>
        <v>62.6390695759572</v>
      </c>
      <c r="L89">
        <f>K89*2.0624/10/2</f>
        <v>6.45934085467271</v>
      </c>
    </row>
    <row r="90" spans="7:14">
      <c r="G90">
        <v>4</v>
      </c>
      <c r="H90" t="s">
        <v>109</v>
      </c>
      <c r="I90">
        <v>3355144</v>
      </c>
      <c r="J90">
        <f t="shared" si="7"/>
        <v>66.5286125977769</v>
      </c>
      <c r="K90">
        <f t="shared" si="5"/>
        <v>266.114450391107</v>
      </c>
      <c r="L90">
        <f>K90*2.0624/10/2.0062</f>
        <v>27.3569156857053</v>
      </c>
      <c r="M90">
        <f>AVERAGE(L90:L92)</f>
        <v>27.261004470333</v>
      </c>
      <c r="N90">
        <f>_xlfn.STDEV.S(L90:L92)</f>
        <v>0.0944768739746637</v>
      </c>
    </row>
    <row r="91" spans="7:12">
      <c r="G91">
        <v>4</v>
      </c>
      <c r="H91" t="s">
        <v>110</v>
      </c>
      <c r="I91">
        <v>3332829</v>
      </c>
      <c r="J91">
        <f t="shared" si="7"/>
        <v>66.0692671881433</v>
      </c>
      <c r="K91">
        <f t="shared" si="5"/>
        <v>264.277068752573</v>
      </c>
      <c r="L91">
        <f>K91*2.0624/10/2.0062</f>
        <v>27.1680304354155</v>
      </c>
    </row>
    <row r="92" spans="7:12">
      <c r="G92">
        <v>4</v>
      </c>
      <c r="H92" t="s">
        <v>111</v>
      </c>
      <c r="I92">
        <v>3343466</v>
      </c>
      <c r="J92">
        <f t="shared" si="7"/>
        <v>66.2882256072458</v>
      </c>
      <c r="K92">
        <f t="shared" si="5"/>
        <v>265.152902428983</v>
      </c>
      <c r="L92">
        <f>K92*2.0624/10/2.0062</f>
        <v>27.2580672898781</v>
      </c>
    </row>
    <row r="93" spans="7:14">
      <c r="G93">
        <v>4</v>
      </c>
      <c r="H93" t="s">
        <v>112</v>
      </c>
      <c r="I93">
        <v>3966122</v>
      </c>
      <c r="J93">
        <f t="shared" si="7"/>
        <v>79.1053519967065</v>
      </c>
      <c r="K93">
        <f t="shared" si="5"/>
        <v>316.421407986826</v>
      </c>
      <c r="L93">
        <f>K93*2.0624/10/2.0053</f>
        <v>32.5431362804583</v>
      </c>
      <c r="M93">
        <f>AVERAGE(L93:L95)</f>
        <v>34.4635569995555</v>
      </c>
      <c r="N93">
        <f>_xlfn.STDEV.S(L93:L95)</f>
        <v>1.69504880956474</v>
      </c>
    </row>
    <row r="94" spans="7:12">
      <c r="G94">
        <v>4</v>
      </c>
      <c r="H94" t="s">
        <v>113</v>
      </c>
      <c r="I94">
        <v>4261842</v>
      </c>
      <c r="J94">
        <f t="shared" si="7"/>
        <v>85.1926307122273</v>
      </c>
      <c r="K94">
        <f t="shared" si="5"/>
        <v>340.770522848909</v>
      </c>
      <c r="L94">
        <f>K94*2.0624/10/2.0025</f>
        <v>35.0963858338871</v>
      </c>
    </row>
    <row r="95" spans="7:12">
      <c r="G95">
        <v>4</v>
      </c>
      <c r="H95" t="s">
        <v>114</v>
      </c>
      <c r="I95">
        <v>4346843</v>
      </c>
      <c r="J95">
        <f t="shared" si="7"/>
        <v>86.9423425277892</v>
      </c>
      <c r="K95">
        <f t="shared" si="5"/>
        <v>347.769370111157</v>
      </c>
      <c r="L95">
        <f>K95*2.0624/10/2.0062</f>
        <v>35.7511488843211</v>
      </c>
    </row>
  </sheetData>
  <pageMargins left="0.7" right="0.7" top="0.75" bottom="0.75" header="0.3" footer="0.3"/>
  <pageSetup paperSize="9" orientation="portrait"/>
  <headerFooter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90"/>
  <sheetViews>
    <sheetView tabSelected="1" topLeftCell="A58" workbookViewId="0">
      <selection activeCell="G78" sqref="G78"/>
    </sheetView>
  </sheetViews>
  <sheetFormatPr defaultColWidth="9" defaultRowHeight="13.5" outlineLevelCol="7"/>
  <cols>
    <col min="5" max="6" width="12.75" customWidth="1"/>
  </cols>
  <sheetData>
    <row r="1" spans="2:3">
      <c r="B1" t="s">
        <v>115</v>
      </c>
      <c r="C1" s="1">
        <v>103.12</v>
      </c>
    </row>
    <row r="3" spans="2:7">
      <c r="B3" t="s">
        <v>1</v>
      </c>
      <c r="C3" t="s">
        <v>116</v>
      </c>
      <c r="E3" t="s">
        <v>117</v>
      </c>
      <c r="G3" t="s">
        <v>118</v>
      </c>
    </row>
    <row r="4" spans="2:7">
      <c r="B4">
        <v>5</v>
      </c>
      <c r="C4">
        <v>4.74415843264093</v>
      </c>
      <c r="D4">
        <v>0.114790878545589</v>
      </c>
      <c r="E4">
        <f>C4/$C$1*1000</f>
        <v>46.0061911621502</v>
      </c>
      <c r="F4">
        <f>D4/$C$1*1000</f>
        <v>1.11317764299447</v>
      </c>
      <c r="G4">
        <v>26</v>
      </c>
    </row>
    <row r="5" spans="2:7">
      <c r="B5">
        <v>10</v>
      </c>
      <c r="C5">
        <v>4.92282788258976</v>
      </c>
      <c r="D5">
        <v>0.252236294974785</v>
      </c>
      <c r="E5">
        <f t="shared" ref="E5:E17" si="0">C5/$C$1*1000</f>
        <v>47.7388274106842</v>
      </c>
      <c r="F5">
        <f t="shared" ref="F5:F17" si="1">D5/$C$1*1000</f>
        <v>2.44604630503089</v>
      </c>
      <c r="G5">
        <v>28</v>
      </c>
    </row>
    <row r="6" spans="2:7">
      <c r="B6">
        <v>15</v>
      </c>
      <c r="C6">
        <v>4.9573207673391</v>
      </c>
      <c r="D6">
        <v>0.175875191231682</v>
      </c>
      <c r="E6">
        <f t="shared" si="0"/>
        <v>48.0733200866863</v>
      </c>
      <c r="F6">
        <f t="shared" si="1"/>
        <v>1.70553909262686</v>
      </c>
      <c r="G6">
        <v>29</v>
      </c>
    </row>
    <row r="7" spans="2:7">
      <c r="B7">
        <v>20</v>
      </c>
      <c r="C7">
        <v>31.6435851749908</v>
      </c>
      <c r="D7">
        <v>0.626038088481913</v>
      </c>
      <c r="E7">
        <f t="shared" si="0"/>
        <v>306.861764691532</v>
      </c>
      <c r="F7">
        <f t="shared" si="1"/>
        <v>6.07096672305967</v>
      </c>
      <c r="G7">
        <v>33</v>
      </c>
    </row>
    <row r="8" spans="2:7">
      <c r="B8">
        <v>25</v>
      </c>
      <c r="C8">
        <v>33.5265241121324</v>
      </c>
      <c r="D8">
        <v>2.42251432921659</v>
      </c>
      <c r="E8">
        <f t="shared" si="0"/>
        <v>325.121451824402</v>
      </c>
      <c r="F8">
        <f t="shared" si="1"/>
        <v>23.4921870560181</v>
      </c>
      <c r="G8">
        <v>36</v>
      </c>
    </row>
    <row r="9" spans="2:7">
      <c r="B9">
        <v>30</v>
      </c>
      <c r="C9">
        <v>33.9462435540554</v>
      </c>
      <c r="D9">
        <v>0.413255038599483</v>
      </c>
      <c r="E9">
        <f t="shared" si="0"/>
        <v>329.191655877186</v>
      </c>
      <c r="F9">
        <f t="shared" si="1"/>
        <v>4.00751589021996</v>
      </c>
      <c r="G9">
        <v>38</v>
      </c>
    </row>
    <row r="10" spans="2:7">
      <c r="B10">
        <v>35</v>
      </c>
      <c r="C10">
        <v>37.1317754483676</v>
      </c>
      <c r="D10">
        <v>1.07519932542047</v>
      </c>
      <c r="E10">
        <f t="shared" si="0"/>
        <v>360.083159894954</v>
      </c>
      <c r="F10">
        <f t="shared" si="1"/>
        <v>10.426680812844</v>
      </c>
      <c r="G10">
        <v>41</v>
      </c>
    </row>
    <row r="11" spans="2:7">
      <c r="B11">
        <v>40</v>
      </c>
      <c r="C11">
        <v>41.4003799818172</v>
      </c>
      <c r="D11">
        <v>1.04275549548542</v>
      </c>
      <c r="E11">
        <f t="shared" si="0"/>
        <v>401.477695711959</v>
      </c>
      <c r="F11">
        <f t="shared" si="1"/>
        <v>10.1120587227057</v>
      </c>
      <c r="G11">
        <v>43</v>
      </c>
    </row>
    <row r="12" spans="2:7">
      <c r="B12">
        <v>45</v>
      </c>
      <c r="C12">
        <v>42.4057953463909</v>
      </c>
      <c r="D12">
        <v>0.879633787085974</v>
      </c>
      <c r="E12">
        <f t="shared" si="0"/>
        <v>411.227650760191</v>
      </c>
      <c r="F12">
        <f t="shared" si="1"/>
        <v>8.5301957630525</v>
      </c>
      <c r="G12">
        <v>42</v>
      </c>
    </row>
    <row r="13" spans="2:7">
      <c r="B13">
        <v>50</v>
      </c>
      <c r="C13">
        <v>38.8752514067154</v>
      </c>
      <c r="D13">
        <v>1.84735808107854</v>
      </c>
      <c r="E13">
        <f t="shared" si="0"/>
        <v>376.990413176061</v>
      </c>
      <c r="F13">
        <f t="shared" si="1"/>
        <v>17.9146439204668</v>
      </c>
      <c r="G13">
        <v>42</v>
      </c>
    </row>
    <row r="14" spans="2:7">
      <c r="B14">
        <v>60</v>
      </c>
      <c r="C14">
        <v>38.7543441519203</v>
      </c>
      <c r="D14">
        <v>0.488762437918142</v>
      </c>
      <c r="E14">
        <f t="shared" si="0"/>
        <v>375.817922342129</v>
      </c>
      <c r="F14">
        <f t="shared" si="1"/>
        <v>4.73974435529618</v>
      </c>
      <c r="G14">
        <v>40</v>
      </c>
    </row>
    <row r="15" spans="2:7">
      <c r="B15">
        <v>70</v>
      </c>
      <c r="C15">
        <v>37.1618769520352</v>
      </c>
      <c r="D15">
        <v>0.23517771212844</v>
      </c>
      <c r="E15">
        <f t="shared" si="0"/>
        <v>360.375067416943</v>
      </c>
      <c r="F15">
        <f t="shared" si="1"/>
        <v>2.28062172351086</v>
      </c>
      <c r="G15">
        <v>40</v>
      </c>
    </row>
    <row r="16" spans="2:7">
      <c r="B16">
        <v>80</v>
      </c>
      <c r="C16">
        <v>36.0409426613772</v>
      </c>
      <c r="D16">
        <v>0.821323422658626</v>
      </c>
      <c r="E16">
        <f t="shared" si="0"/>
        <v>349.504874528484</v>
      </c>
      <c r="F16">
        <f t="shared" si="1"/>
        <v>7.96473450987806</v>
      </c>
      <c r="G16">
        <v>55</v>
      </c>
    </row>
    <row r="17" spans="2:6">
      <c r="B17">
        <v>105</v>
      </c>
      <c r="C17">
        <v>26.1168611489353</v>
      </c>
      <c r="D17">
        <v>0.48781475264822</v>
      </c>
      <c r="E17">
        <f t="shared" si="0"/>
        <v>253.266690738317</v>
      </c>
      <c r="F17">
        <f t="shared" si="1"/>
        <v>4.73055423436986</v>
      </c>
    </row>
    <row r="19" spans="7:7">
      <c r="G19">
        <v>26</v>
      </c>
    </row>
    <row r="20" spans="3:7">
      <c r="C20">
        <v>4.16751887432911</v>
      </c>
      <c r="D20">
        <v>0.158610369041689</v>
      </c>
      <c r="G20">
        <v>29</v>
      </c>
    </row>
    <row r="21" spans="3:7">
      <c r="C21">
        <v>4.17839629019264</v>
      </c>
      <c r="D21">
        <v>0.0329187360902065</v>
      </c>
      <c r="G21">
        <v>29</v>
      </c>
    </row>
    <row r="22" spans="3:7">
      <c r="C22">
        <v>4.14644401726466</v>
      </c>
      <c r="G22">
        <v>32</v>
      </c>
    </row>
    <row r="23" spans="3:7">
      <c r="C23">
        <v>4.1990107009922</v>
      </c>
      <c r="G23">
        <v>36</v>
      </c>
    </row>
    <row r="24" spans="3:7">
      <c r="C24">
        <v>3.99599774891029</v>
      </c>
      <c r="G24">
        <v>38</v>
      </c>
    </row>
    <row r="25" spans="3:7">
      <c r="C25">
        <v>4.15151249904905</v>
      </c>
      <c r="G25">
        <v>41</v>
      </c>
    </row>
    <row r="26" spans="3:7">
      <c r="C26">
        <v>4.13166715674861</v>
      </c>
      <c r="G26">
        <v>42</v>
      </c>
    </row>
    <row r="27" spans="7:7">
      <c r="G27">
        <v>42</v>
      </c>
    </row>
    <row r="28" spans="3:7">
      <c r="C28">
        <v>4.19676118412467</v>
      </c>
      <c r="G28">
        <v>42</v>
      </c>
    </row>
    <row r="29" spans="3:7">
      <c r="C29">
        <v>4.69678885605594</v>
      </c>
      <c r="G29">
        <v>41</v>
      </c>
    </row>
    <row r="30" spans="3:7">
      <c r="C30">
        <v>4.77847588177177</v>
      </c>
      <c r="G30">
        <v>41</v>
      </c>
    </row>
    <row r="31" spans="3:7">
      <c r="C31">
        <v>4.56099822049226</v>
      </c>
      <c r="G31">
        <v>40</v>
      </c>
    </row>
    <row r="32" spans="3:7">
      <c r="C32">
        <v>4.49917638411127</v>
      </c>
      <c r="G32">
        <v>40</v>
      </c>
    </row>
    <row r="33" spans="3:8">
      <c r="C33">
        <v>4.09430759363394</v>
      </c>
      <c r="G33">
        <v>39</v>
      </c>
      <c r="H33" t="s">
        <v>119</v>
      </c>
    </row>
    <row r="34" spans="3:7">
      <c r="C34">
        <v>3.63346026498513</v>
      </c>
      <c r="G34">
        <v>44</v>
      </c>
    </row>
    <row r="35" spans="3:7">
      <c r="C35">
        <v>3.11489194857087</v>
      </c>
      <c r="G35">
        <v>63</v>
      </c>
    </row>
    <row r="36" spans="3:7">
      <c r="C36">
        <v>2.86007584124384</v>
      </c>
      <c r="G36">
        <v>87</v>
      </c>
    </row>
    <row r="37" spans="3:7">
      <c r="C37">
        <v>3.36233360002505</v>
      </c>
      <c r="G37">
        <v>96</v>
      </c>
    </row>
    <row r="38" spans="7:7">
      <c r="G38">
        <v>97</v>
      </c>
    </row>
    <row r="41" spans="2:5">
      <c r="B41" t="s">
        <v>46</v>
      </c>
      <c r="E41" t="s">
        <v>117</v>
      </c>
    </row>
    <row r="42" spans="2:6">
      <c r="B42">
        <v>5</v>
      </c>
      <c r="C42">
        <v>4.15013891421446</v>
      </c>
      <c r="D42">
        <v>0.21956797597622</v>
      </c>
      <c r="E42">
        <f>C42/$C$1*1000</f>
        <v>40.2457225971146</v>
      </c>
      <c r="F42">
        <f>D42/$C$1*1000</f>
        <v>2.12924724569647</v>
      </c>
    </row>
    <row r="43" spans="2:6">
      <c r="B43">
        <v>10</v>
      </c>
      <c r="C43">
        <v>4.13825795253111</v>
      </c>
      <c r="D43">
        <v>0.0640729189764606</v>
      </c>
      <c r="E43">
        <f t="shared" ref="E43:E62" si="2">C43/$C$1*1000</f>
        <v>40.1305076855228</v>
      </c>
      <c r="F43">
        <f t="shared" ref="F43:F62" si="3">D43/$C$1*1000</f>
        <v>0.621343279445894</v>
      </c>
    </row>
    <row r="44" spans="2:6">
      <c r="B44">
        <v>15</v>
      </c>
      <c r="C44">
        <v>4.04136866078817</v>
      </c>
      <c r="D44">
        <v>0.101168139741804</v>
      </c>
      <c r="E44">
        <f t="shared" si="2"/>
        <v>39.1909296042298</v>
      </c>
      <c r="F44">
        <f t="shared" si="3"/>
        <v>0.981071952500039</v>
      </c>
    </row>
    <row r="45" spans="2:6">
      <c r="B45">
        <v>20</v>
      </c>
      <c r="C45">
        <v>4.13684320740347</v>
      </c>
      <c r="D45">
        <v>0.0541111614042327</v>
      </c>
      <c r="E45">
        <f t="shared" si="2"/>
        <v>40.1167882797078</v>
      </c>
      <c r="F45">
        <f t="shared" si="3"/>
        <v>0.524739734331194</v>
      </c>
    </row>
    <row r="46" spans="2:6">
      <c r="B46">
        <v>25</v>
      </c>
      <c r="C46">
        <v>4.02499548492273</v>
      </c>
      <c r="D46">
        <v>0.0332319186173513</v>
      </c>
      <c r="E46">
        <f t="shared" si="2"/>
        <v>39.0321517156975</v>
      </c>
      <c r="F46">
        <f t="shared" si="3"/>
        <v>0.322264532751661</v>
      </c>
    </row>
    <row r="47" spans="2:6">
      <c r="B47">
        <v>30</v>
      </c>
      <c r="C47">
        <v>4.45938266274427</v>
      </c>
      <c r="D47">
        <v>0.546100525283983</v>
      </c>
      <c r="E47">
        <f t="shared" si="2"/>
        <v>43.244595255472</v>
      </c>
      <c r="F47">
        <f t="shared" si="3"/>
        <v>5.29577701012397</v>
      </c>
    </row>
    <row r="48" spans="2:6">
      <c r="B48">
        <v>35</v>
      </c>
      <c r="C48">
        <v>4.17332801562883</v>
      </c>
      <c r="D48">
        <v>0.0360793817876545</v>
      </c>
      <c r="E48">
        <f t="shared" si="2"/>
        <v>40.470597513856</v>
      </c>
      <c r="F48">
        <f t="shared" si="3"/>
        <v>0.349877635644439</v>
      </c>
    </row>
    <row r="49" spans="2:6">
      <c r="B49">
        <v>40</v>
      </c>
      <c r="C49">
        <v>4.22492708687181</v>
      </c>
      <c r="D49">
        <v>0.188379665041502</v>
      </c>
      <c r="E49">
        <f t="shared" si="2"/>
        <v>40.9709764048857</v>
      </c>
      <c r="F49">
        <f t="shared" si="3"/>
        <v>1.82680047557701</v>
      </c>
    </row>
    <row r="50" spans="2:6">
      <c r="B50">
        <v>45</v>
      </c>
      <c r="C50">
        <v>4.2821274190903</v>
      </c>
      <c r="D50">
        <v>0.0787135578482029</v>
      </c>
      <c r="E50">
        <f t="shared" si="2"/>
        <v>41.5256731874544</v>
      </c>
      <c r="F50">
        <f t="shared" si="3"/>
        <v>0.763319994648981</v>
      </c>
    </row>
    <row r="51" spans="2:6">
      <c r="B51">
        <v>50</v>
      </c>
      <c r="C51">
        <v>4.51462160539644</v>
      </c>
      <c r="D51">
        <v>0.159271039956568</v>
      </c>
      <c r="E51">
        <f t="shared" si="2"/>
        <v>43.7802715806482</v>
      </c>
      <c r="F51">
        <f t="shared" si="3"/>
        <v>1.54452133394654</v>
      </c>
    </row>
    <row r="52" spans="2:6">
      <c r="B52">
        <v>55</v>
      </c>
      <c r="C52">
        <v>4.67205164638335</v>
      </c>
      <c r="D52">
        <v>0.150506597051483</v>
      </c>
      <c r="E52">
        <f t="shared" si="2"/>
        <v>45.306939937775</v>
      </c>
      <c r="F52">
        <f t="shared" si="3"/>
        <v>1.45952867582897</v>
      </c>
    </row>
    <row r="53" spans="2:6">
      <c r="B53">
        <v>60</v>
      </c>
      <c r="C53">
        <v>4.37239497207361</v>
      </c>
      <c r="D53">
        <v>0.169934502644752</v>
      </c>
      <c r="E53">
        <f t="shared" si="2"/>
        <v>42.4010373552523</v>
      </c>
      <c r="F53">
        <f t="shared" si="3"/>
        <v>1.64792962223382</v>
      </c>
    </row>
    <row r="54" spans="2:6">
      <c r="B54">
        <v>65</v>
      </c>
      <c r="C54">
        <v>4.51681185377533</v>
      </c>
      <c r="D54">
        <v>0.3834553318024</v>
      </c>
      <c r="E54">
        <f t="shared" si="2"/>
        <v>43.8015113826157</v>
      </c>
      <c r="F54">
        <f t="shared" si="3"/>
        <v>3.71853502523662</v>
      </c>
    </row>
    <row r="55" spans="2:6">
      <c r="B55">
        <v>70</v>
      </c>
      <c r="C55">
        <v>3.93512191092464</v>
      </c>
      <c r="D55">
        <v>0.22279042271071</v>
      </c>
      <c r="E55">
        <f t="shared" si="2"/>
        <v>38.1606081354213</v>
      </c>
      <c r="F55">
        <f t="shared" si="3"/>
        <v>2.16049672915739</v>
      </c>
    </row>
    <row r="56" spans="2:6">
      <c r="B56">
        <v>75</v>
      </c>
      <c r="C56">
        <v>3.53220541759418</v>
      </c>
      <c r="D56">
        <v>0.14043361386471</v>
      </c>
      <c r="E56">
        <f t="shared" si="2"/>
        <v>34.2533496663517</v>
      </c>
      <c r="F56">
        <f t="shared" si="3"/>
        <v>1.36184652700455</v>
      </c>
    </row>
    <row r="57" spans="2:6">
      <c r="B57">
        <v>80</v>
      </c>
      <c r="C57">
        <v>3.01615240615314</v>
      </c>
      <c r="D57">
        <v>0.107001858153122</v>
      </c>
      <c r="E57">
        <f t="shared" si="2"/>
        <v>29.2489566151391</v>
      </c>
      <c r="F57">
        <f t="shared" si="3"/>
        <v>1.03764408604656</v>
      </c>
    </row>
    <row r="58" spans="2:6">
      <c r="B58">
        <v>85</v>
      </c>
      <c r="C58">
        <v>2.85805640723923</v>
      </c>
      <c r="D58">
        <v>0.0381737594087564</v>
      </c>
      <c r="E58">
        <f t="shared" si="2"/>
        <v>27.7158301710553</v>
      </c>
      <c r="F58">
        <f t="shared" si="3"/>
        <v>0.370187736702448</v>
      </c>
    </row>
    <row r="59" spans="2:6">
      <c r="B59">
        <v>90</v>
      </c>
      <c r="C59">
        <v>3.32545755767239</v>
      </c>
      <c r="D59">
        <v>0.0327448373676006</v>
      </c>
      <c r="E59">
        <f t="shared" si="2"/>
        <v>32.2484247252947</v>
      </c>
      <c r="F59">
        <f t="shared" si="3"/>
        <v>0.317541091617539</v>
      </c>
    </row>
    <row r="60" spans="2:6">
      <c r="B60">
        <v>95</v>
      </c>
      <c r="C60">
        <v>3.470589696969</v>
      </c>
      <c r="D60">
        <v>0.0638662348134665</v>
      </c>
      <c r="E60">
        <f t="shared" si="2"/>
        <v>33.6558349201804</v>
      </c>
      <c r="F60">
        <f t="shared" si="3"/>
        <v>0.619338972201964</v>
      </c>
    </row>
    <row r="61" spans="2:6">
      <c r="B61">
        <v>100</v>
      </c>
      <c r="C61">
        <v>3.30919895127911</v>
      </c>
      <c r="D61">
        <v>0.0357816891192411</v>
      </c>
      <c r="E61">
        <f t="shared" si="2"/>
        <v>32.0907578673304</v>
      </c>
      <c r="F61">
        <f t="shared" si="3"/>
        <v>0.346990778891012</v>
      </c>
    </row>
    <row r="62" spans="2:6">
      <c r="B62">
        <v>105</v>
      </c>
      <c r="C62">
        <v>2.65040272099667</v>
      </c>
      <c r="D62">
        <v>0.0555861144093927</v>
      </c>
      <c r="E62">
        <f t="shared" si="2"/>
        <v>25.7021210337148</v>
      </c>
      <c r="F62">
        <f t="shared" si="3"/>
        <v>0.539043002418471</v>
      </c>
    </row>
    <row r="65" spans="5:5">
      <c r="E65" t="s">
        <v>120</v>
      </c>
    </row>
    <row r="66" spans="2:6">
      <c r="B66">
        <v>5</v>
      </c>
      <c r="C66">
        <v>5.11979014257975</v>
      </c>
      <c r="D66">
        <v>0.0721878040217749</v>
      </c>
      <c r="E66">
        <f>C66/$C$1*1000</f>
        <v>49.6488570847532</v>
      </c>
      <c r="F66">
        <f>D66/$C$1*1000</f>
        <v>0.700036889272449</v>
      </c>
    </row>
    <row r="67" spans="2:6">
      <c r="B67">
        <v>10</v>
      </c>
      <c r="C67">
        <v>5.023870876216</v>
      </c>
      <c r="D67">
        <v>0.0721975558043977</v>
      </c>
      <c r="E67">
        <f t="shared" ref="E67:E82" si="4">C67/$C$1*1000</f>
        <v>48.7186857662529</v>
      </c>
      <c r="F67">
        <f t="shared" ref="F67:F82" si="5">D67/$C$1*1000</f>
        <v>0.700131456598116</v>
      </c>
    </row>
    <row r="68" spans="2:6">
      <c r="B68">
        <v>15</v>
      </c>
      <c r="C68">
        <v>4.93425181538385</v>
      </c>
      <c r="D68">
        <v>0.0998282736377732</v>
      </c>
      <c r="E68">
        <f t="shared" si="4"/>
        <v>47.8496103121009</v>
      </c>
      <c r="F68">
        <f t="shared" si="5"/>
        <v>0.96807868151448</v>
      </c>
    </row>
    <row r="69" spans="2:6">
      <c r="B69">
        <v>20</v>
      </c>
      <c r="C69">
        <v>5.11087118517285</v>
      </c>
      <c r="D69">
        <v>0.163024821665531</v>
      </c>
      <c r="E69">
        <f t="shared" si="4"/>
        <v>49.5623660315443</v>
      </c>
      <c r="F69">
        <f t="shared" si="5"/>
        <v>1.58092340637637</v>
      </c>
    </row>
    <row r="70" spans="2:6">
      <c r="B70">
        <v>25</v>
      </c>
      <c r="C70">
        <v>5.41322523028272</v>
      </c>
      <c r="D70">
        <v>0.378345372580047</v>
      </c>
      <c r="E70">
        <f t="shared" si="4"/>
        <v>52.4944262052242</v>
      </c>
      <c r="F70">
        <f t="shared" si="5"/>
        <v>3.66898150290969</v>
      </c>
    </row>
    <row r="71" spans="2:6">
      <c r="B71">
        <v>30</v>
      </c>
      <c r="C71">
        <v>5.11166775345903</v>
      </c>
      <c r="D71">
        <v>0.100336909945842</v>
      </c>
      <c r="E71">
        <f t="shared" si="4"/>
        <v>49.5700907046066</v>
      </c>
      <c r="F71">
        <f t="shared" si="5"/>
        <v>0.973011151530662</v>
      </c>
    </row>
    <row r="72" spans="2:6">
      <c r="B72">
        <v>35</v>
      </c>
      <c r="C72">
        <v>5.58791358539139</v>
      </c>
      <c r="D72">
        <v>0.555972319505067</v>
      </c>
      <c r="E72">
        <f t="shared" si="4"/>
        <v>54.1884560259056</v>
      </c>
      <c r="F72">
        <f t="shared" si="5"/>
        <v>5.39150814104992</v>
      </c>
    </row>
    <row r="73" spans="2:6">
      <c r="B73">
        <v>40</v>
      </c>
      <c r="C73">
        <v>5.92396029675332</v>
      </c>
      <c r="D73">
        <v>0.457789436662617</v>
      </c>
      <c r="E73">
        <f t="shared" si="4"/>
        <v>57.4472488048227</v>
      </c>
      <c r="F73">
        <f t="shared" si="5"/>
        <v>4.43938553784539</v>
      </c>
    </row>
    <row r="74" spans="2:6">
      <c r="B74">
        <v>45</v>
      </c>
      <c r="C74">
        <v>5.77687277203306</v>
      </c>
      <c r="D74">
        <v>0.183043535358664</v>
      </c>
      <c r="E74">
        <f t="shared" si="4"/>
        <v>56.0208763773571</v>
      </c>
      <c r="F74">
        <f t="shared" si="5"/>
        <v>1.77505367880784</v>
      </c>
    </row>
    <row r="75" spans="2:6">
      <c r="B75">
        <v>50</v>
      </c>
      <c r="C75">
        <v>6.49749896506614</v>
      </c>
      <c r="D75">
        <v>0.573188746085538</v>
      </c>
      <c r="E75">
        <f t="shared" si="4"/>
        <v>63.0091055572744</v>
      </c>
      <c r="F75">
        <f t="shared" si="5"/>
        <v>5.55846340269141</v>
      </c>
    </row>
    <row r="76" spans="2:6">
      <c r="B76">
        <v>55</v>
      </c>
      <c r="C76">
        <v>7.28693085783712</v>
      </c>
      <c r="D76">
        <v>0.396857459402314</v>
      </c>
      <c r="E76">
        <f t="shared" si="4"/>
        <v>70.6645738735174</v>
      </c>
      <c r="F76">
        <f t="shared" si="5"/>
        <v>3.84850135184556</v>
      </c>
    </row>
    <row r="77" spans="2:6">
      <c r="B77">
        <v>60</v>
      </c>
      <c r="C77">
        <v>7.65695332018937</v>
      </c>
      <c r="D77">
        <v>0.286239817954431</v>
      </c>
      <c r="E77">
        <f t="shared" si="4"/>
        <v>74.2528444549007</v>
      </c>
      <c r="F77">
        <f t="shared" si="5"/>
        <v>2.77579342469386</v>
      </c>
    </row>
    <row r="78" spans="2:6">
      <c r="B78">
        <v>65</v>
      </c>
      <c r="C78">
        <v>7.5146293655977</v>
      </c>
      <c r="D78">
        <v>0.350663506594123</v>
      </c>
      <c r="E78">
        <f t="shared" si="4"/>
        <v>72.8726664623517</v>
      </c>
      <c r="F78">
        <f t="shared" si="5"/>
        <v>3.40053827185922</v>
      </c>
    </row>
    <row r="79" spans="2:6">
      <c r="B79">
        <v>70</v>
      </c>
      <c r="C79">
        <v>8.07967677143338</v>
      </c>
      <c r="D79">
        <v>0.743291180939373</v>
      </c>
      <c r="E79">
        <f t="shared" si="4"/>
        <v>78.352179707461</v>
      </c>
      <c r="F79">
        <f t="shared" si="5"/>
        <v>7.20802153742604</v>
      </c>
    </row>
    <row r="80" spans="2:6">
      <c r="B80">
        <v>75</v>
      </c>
      <c r="C80">
        <v>6.59739452412172</v>
      </c>
      <c r="D80">
        <v>0.174302379578875</v>
      </c>
      <c r="E80">
        <f t="shared" si="4"/>
        <v>63.9778367350826</v>
      </c>
      <c r="F80">
        <f t="shared" si="5"/>
        <v>1.6902868461877</v>
      </c>
    </row>
    <row r="81" spans="2:6">
      <c r="B81">
        <v>80</v>
      </c>
      <c r="C81">
        <v>6.4328477880615</v>
      </c>
      <c r="D81">
        <v>0.445638230391219</v>
      </c>
      <c r="E81">
        <f t="shared" si="4"/>
        <v>62.3821546553675</v>
      </c>
      <c r="F81">
        <f t="shared" si="5"/>
        <v>4.32154994560918</v>
      </c>
    </row>
    <row r="82" spans="2:6">
      <c r="B82">
        <v>105</v>
      </c>
      <c r="C82">
        <v>7.96504952579164</v>
      </c>
      <c r="D82">
        <v>0.329233235707381</v>
      </c>
      <c r="E82">
        <f t="shared" si="4"/>
        <v>77.2405888847133</v>
      </c>
      <c r="F82">
        <f t="shared" si="5"/>
        <v>3.19271950841137</v>
      </c>
    </row>
    <row r="85" spans="2:2">
      <c r="B85" t="s">
        <v>1</v>
      </c>
    </row>
    <row r="86" spans="1:5">
      <c r="A86" t="s">
        <v>121</v>
      </c>
      <c r="B86">
        <v>129.12</v>
      </c>
      <c r="C86" t="s">
        <v>116</v>
      </c>
      <c r="E86" t="s">
        <v>120</v>
      </c>
    </row>
    <row r="87" spans="2:5">
      <c r="B87">
        <v>0</v>
      </c>
      <c r="C87">
        <f>0.69*1000/368.6*100</f>
        <v>187.194791101465</v>
      </c>
      <c r="E87">
        <f>C87/$B$86*1000</f>
        <v>1449.77378486265</v>
      </c>
    </row>
    <row r="88" spans="2:5">
      <c r="B88">
        <v>5</v>
      </c>
      <c r="C88" s="2">
        <v>125.115869947168</v>
      </c>
      <c r="D88" s="2">
        <v>62.5225946631451</v>
      </c>
      <c r="E88">
        <f t="shared" ref="E88:E90" si="6">C88/$B$86*1000</f>
        <v>968.989079516479</v>
      </c>
    </row>
    <row r="89" spans="2:5">
      <c r="B89">
        <v>70</v>
      </c>
      <c r="C89" s="2">
        <v>83.6688770571692</v>
      </c>
      <c r="D89" s="2">
        <v>2.32056976404876</v>
      </c>
      <c r="E89">
        <f t="shared" si="6"/>
        <v>647.993161843008</v>
      </c>
    </row>
    <row r="90" spans="2:5">
      <c r="B90">
        <v>105</v>
      </c>
      <c r="C90" s="2">
        <v>59.9560783451176</v>
      </c>
      <c r="D90" s="2">
        <v>11.33753514455</v>
      </c>
      <c r="E90">
        <f t="shared" si="6"/>
        <v>464.343853354381</v>
      </c>
    </row>
  </sheetData>
  <pageMargins left="0.25" right="0.25" top="0.75" bottom="0.75" header="0.3" footer="0.3"/>
  <pageSetup paperSize="9" scale="53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Company>UNITCOM PC</Company>
  <Application>Microsoft Excel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Glu3 BLK1</vt:lpstr>
      <vt:lpstr>BLK23</vt:lpstr>
      <vt:lpstr>NH4Cl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process-14</dc:creator>
  <cp:lastModifiedBy>张丽芬</cp:lastModifiedBy>
  <dcterms:created xsi:type="dcterms:W3CDTF">2016-07-20T07:53:00Z</dcterms:created>
  <cp:lastPrinted>2016-08-12T05:18:00Z</cp:lastPrinted>
  <dcterms:modified xsi:type="dcterms:W3CDTF">2025-01-08T15:10:06Z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4E59162CE53F49689804BB02068BA849_13</vt:lpwstr>
  </property>
  <property fmtid="{D5CDD505-2E9C-101B-9397-08002B2CF9AE}" pid="3" name="KSOProductBuildVer">
    <vt:lpwstr>2052-12.1.0.19302</vt:lpwstr>
  </property>
</Properties>
</file>