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E6BAE4F1-EFA6-4E3C-9842-2D2B9F01CC4A}" xr6:coauthVersionLast="47" xr6:coauthVersionMax="47" xr10:uidLastSave="{00000000-0000-0000-0000-000000000000}"/>
  <bookViews>
    <workbookView xWindow="-13890" yWindow="-21720" windowWidth="51840" windowHeight="21240" activeTab="3" xr2:uid="{09CAB50B-D971-4EA7-887E-97554D947C5B}"/>
  </bookViews>
  <sheets>
    <sheet name="A" sheetId="2" r:id="rId1"/>
    <sheet name="B" sheetId="4" r:id="rId2"/>
    <sheet name="C" sheetId="5" r:id="rId3"/>
    <sheet name="D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5" l="1"/>
  <c r="F34" i="5"/>
  <c r="D34" i="5"/>
  <c r="I33" i="5"/>
  <c r="F33" i="5"/>
  <c r="D33" i="5"/>
  <c r="G32" i="5"/>
  <c r="E32" i="5"/>
  <c r="G31" i="5"/>
  <c r="E31" i="5"/>
  <c r="G30" i="5"/>
  <c r="E30" i="5"/>
  <c r="G29" i="5"/>
  <c r="E29" i="5"/>
  <c r="G28" i="5"/>
  <c r="E28" i="5"/>
  <c r="G27" i="5"/>
  <c r="E27" i="5"/>
  <c r="G26" i="5"/>
  <c r="E26" i="5"/>
  <c r="G25" i="5"/>
  <c r="E25" i="5"/>
  <c r="G24" i="5"/>
  <c r="E24" i="5"/>
  <c r="G23" i="5"/>
  <c r="E23" i="5"/>
  <c r="I20" i="5"/>
  <c r="F20" i="5"/>
  <c r="D20" i="5"/>
  <c r="I19" i="5"/>
  <c r="F19" i="5"/>
  <c r="D19" i="5"/>
  <c r="G18" i="5"/>
  <c r="E18" i="5"/>
  <c r="G17" i="5"/>
  <c r="E17" i="5"/>
  <c r="G16" i="5"/>
  <c r="E16" i="5"/>
  <c r="G15" i="5"/>
  <c r="E15" i="5"/>
  <c r="G14" i="5"/>
  <c r="E14" i="5"/>
  <c r="G13" i="5"/>
  <c r="E13" i="5"/>
  <c r="G12" i="5"/>
  <c r="E12" i="5"/>
  <c r="G11" i="5"/>
  <c r="E11" i="5"/>
  <c r="G10" i="5"/>
  <c r="E10" i="5"/>
  <c r="G6" i="5"/>
  <c r="E6" i="5"/>
  <c r="I31" i="4"/>
  <c r="F31" i="4"/>
  <c r="D31" i="4"/>
  <c r="I30" i="4"/>
  <c r="F30" i="4"/>
  <c r="D30" i="4"/>
  <c r="G29" i="4"/>
  <c r="E29" i="4"/>
  <c r="G28" i="4"/>
  <c r="E28" i="4"/>
  <c r="G27" i="4"/>
  <c r="E27" i="4"/>
  <c r="G26" i="4"/>
  <c r="E26" i="4"/>
  <c r="G25" i="4"/>
  <c r="E25" i="4"/>
  <c r="G24" i="4"/>
  <c r="E24" i="4"/>
  <c r="G23" i="4"/>
  <c r="E23" i="4"/>
  <c r="G22" i="4"/>
  <c r="E22" i="4"/>
  <c r="G21" i="4"/>
  <c r="E21" i="4"/>
  <c r="G20" i="4"/>
  <c r="E20" i="4"/>
  <c r="I17" i="4"/>
  <c r="F17" i="4"/>
  <c r="D17" i="4"/>
  <c r="I16" i="4"/>
  <c r="F16" i="4"/>
  <c r="D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I31" i="3"/>
  <c r="F31" i="3"/>
  <c r="D31" i="3"/>
  <c r="I30" i="3"/>
  <c r="F30" i="3"/>
  <c r="D30" i="3"/>
  <c r="G29" i="3"/>
  <c r="E29" i="3"/>
  <c r="G28" i="3"/>
  <c r="E28" i="3"/>
  <c r="G27" i="3"/>
  <c r="E27" i="3"/>
  <c r="G26" i="3"/>
  <c r="E26" i="3"/>
  <c r="G25" i="3"/>
  <c r="E25" i="3"/>
  <c r="G24" i="3"/>
  <c r="E24" i="3"/>
  <c r="G23" i="3"/>
  <c r="E23" i="3"/>
  <c r="G22" i="3"/>
  <c r="E22" i="3"/>
  <c r="G21" i="3"/>
  <c r="E21" i="3"/>
  <c r="G20" i="3"/>
  <c r="E20" i="3"/>
  <c r="I17" i="3"/>
  <c r="F17" i="3"/>
  <c r="D17" i="3"/>
  <c r="I16" i="3"/>
  <c r="F16" i="3"/>
  <c r="D16" i="3"/>
  <c r="G15" i="3"/>
  <c r="E15" i="3"/>
  <c r="G14" i="3"/>
  <c r="E14" i="3"/>
  <c r="G13" i="3"/>
  <c r="E13" i="3"/>
  <c r="G12" i="3"/>
  <c r="E12" i="3"/>
  <c r="G11" i="3"/>
  <c r="E11" i="3"/>
  <c r="G10" i="3"/>
  <c r="E10" i="3"/>
  <c r="G9" i="3"/>
  <c r="E9" i="3"/>
  <c r="G8" i="3"/>
  <c r="E8" i="3"/>
  <c r="G7" i="3"/>
  <c r="E7" i="3"/>
  <c r="G6" i="3"/>
  <c r="E6" i="3"/>
  <c r="I17" i="2"/>
  <c r="F17" i="2"/>
  <c r="D17" i="2"/>
  <c r="I16" i="2"/>
  <c r="F16" i="2"/>
  <c r="D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E17" i="2" s="1"/>
  <c r="G16" i="4" l="1"/>
  <c r="G31" i="4"/>
  <c r="G16" i="2"/>
  <c r="E16" i="4"/>
  <c r="E31" i="4"/>
  <c r="E30" i="4"/>
  <c r="G34" i="5"/>
  <c r="E34" i="5"/>
  <c r="E19" i="5"/>
  <c r="G19" i="5"/>
  <c r="G31" i="3"/>
  <c r="G16" i="3"/>
  <c r="E31" i="3"/>
  <c r="E17" i="3"/>
  <c r="E30" i="3"/>
  <c r="G30" i="3"/>
  <c r="E20" i="5"/>
  <c r="E33" i="5"/>
  <c r="G20" i="5"/>
  <c r="G33" i="5"/>
  <c r="E17" i="4"/>
  <c r="G30" i="4"/>
  <c r="G17" i="4"/>
  <c r="E16" i="3"/>
  <c r="G17" i="3"/>
  <c r="G17" i="2"/>
  <c r="E16" i="2"/>
</calcChain>
</file>

<file path=xl/sharedStrings.xml><?xml version="1.0" encoding="utf-8"?>
<sst xmlns="http://schemas.openxmlformats.org/spreadsheetml/2006/main" count="227" uniqueCount="91">
  <si>
    <t>Name</t>
  </si>
  <si>
    <t>Group#</t>
  </si>
  <si>
    <t>Date</t>
  </si>
  <si>
    <t>Dry Mass</t>
  </si>
  <si>
    <t>Capacity</t>
  </si>
  <si>
    <t>Average Rate from</t>
  </si>
  <si>
    <t>Saturation</t>
  </si>
  <si>
    <t>(Absolute)</t>
  </si>
  <si>
    <t>(Normalized)</t>
  </si>
  <si>
    <t>5.0% to 80.0% of</t>
  </si>
  <si>
    <t>Time</t>
  </si>
  <si>
    <t>Total Capacity</t>
  </si>
  <si>
    <t xml:space="preserve">   grams</t>
  </si>
  <si>
    <t>grams H2O</t>
  </si>
  <si>
    <t>(grams H2O)/g</t>
  </si>
  <si>
    <t>(grams H2O)/sec</t>
  </si>
  <si>
    <t>seconds</t>
  </si>
  <si>
    <t>A1 000.xls</t>
  </si>
  <si>
    <t>2023-Nov-10</t>
  </si>
  <si>
    <t>A2 000.xls</t>
  </si>
  <si>
    <t>A3 000.xls</t>
  </si>
  <si>
    <t>A4 000.xls</t>
  </si>
  <si>
    <t>A5 000.xls</t>
  </si>
  <si>
    <t>A6 000.xls</t>
  </si>
  <si>
    <t>A7 000.xls</t>
  </si>
  <si>
    <t>A8 000.xls</t>
  </si>
  <si>
    <t>A9 000.xls</t>
  </si>
  <si>
    <t>A10 000.xls</t>
  </si>
  <si>
    <t>Average</t>
  </si>
  <si>
    <t>Standard deviation</t>
  </si>
  <si>
    <t>C-Electrode-1_000.xls</t>
  </si>
  <si>
    <t>C-Electrode-2_000.xls</t>
  </si>
  <si>
    <t>C-Electrode-3_000.xls</t>
  </si>
  <si>
    <t>C-Electrode-4_000.xls</t>
  </si>
  <si>
    <t>C-Electrode-5_000.xls</t>
  </si>
  <si>
    <t>C-Electrode-6_000.xls</t>
  </si>
  <si>
    <t>C-Electrode-7_000.xls</t>
  </si>
  <si>
    <t>C-Electrode-8_000.xls</t>
  </si>
  <si>
    <t>C-Electrode-9_000.xls</t>
  </si>
  <si>
    <t>C-Electrode-10_000.xls</t>
  </si>
  <si>
    <t>C-Path-1 000.xls</t>
  </si>
  <si>
    <t>C-Path-2 000.xls</t>
  </si>
  <si>
    <t>C-Path-3 000.xls</t>
  </si>
  <si>
    <t>C-Path-4 000.xls</t>
  </si>
  <si>
    <t>C-Path-5 000.xls</t>
  </si>
  <si>
    <t>C-Path-6 000.xls</t>
  </si>
  <si>
    <t>C-Path-7 000.xls</t>
  </si>
  <si>
    <t>C-Path-8 000.xls</t>
  </si>
  <si>
    <t>C-Path-9 000.xls</t>
  </si>
  <si>
    <t>C-Path-10 000.xls</t>
  </si>
  <si>
    <t>Average Absorption Rate  5.0% to 80.0% of (grams H2O)/sec</t>
  </si>
  <si>
    <t>D-Central-1_000.xls</t>
  </si>
  <si>
    <t>D-Central-2_000.xls</t>
  </si>
  <si>
    <t>D-Central-3_000.xls</t>
  </si>
  <si>
    <t>D-Central-4_000.xls</t>
  </si>
  <si>
    <t>D-Central-5_000.xls</t>
  </si>
  <si>
    <t>D-Central-6_000.xls</t>
  </si>
  <si>
    <t>D-Central-7_000.xls</t>
  </si>
  <si>
    <t>D-Central-8_000.xls</t>
  </si>
  <si>
    <t>D-Central-9_000.xls</t>
  </si>
  <si>
    <t>D-Central-10_000.xls</t>
  </si>
  <si>
    <t>D-Channel-1_000.xls</t>
  </si>
  <si>
    <t>D-Channel-2_000.xls</t>
  </si>
  <si>
    <t>D-Channel-3_000.xls</t>
  </si>
  <si>
    <t>D-Channel-4_000.xls</t>
  </si>
  <si>
    <t>D-Channel-5_000.xls</t>
  </si>
  <si>
    <t>D-Channel-6_000.xls</t>
  </si>
  <si>
    <t>D-Channel-7_000.xls</t>
  </si>
  <si>
    <t>D-Channel-8_000.xls</t>
  </si>
  <si>
    <t>D-Channel-9_000.xls</t>
  </si>
  <si>
    <t>D-Channel-10_000.xls</t>
  </si>
  <si>
    <t>B-ElectroB-1_000.xls</t>
  </si>
  <si>
    <t>B-ElectroB-2_000.xls</t>
  </si>
  <si>
    <t>B-ElectroB-3_000.xls</t>
  </si>
  <si>
    <t>B-ElectroB-4_000.xls</t>
  </si>
  <si>
    <t>B-ElectroB-5_000.xls</t>
  </si>
  <si>
    <t>B-ElectroB-6_001.xls</t>
  </si>
  <si>
    <t>B-ElectroB-7_000.xls</t>
  </si>
  <si>
    <t>B-ElectroB-8_000.xls</t>
  </si>
  <si>
    <t>B-ElectroB-9_000.xls</t>
  </si>
  <si>
    <t>B-ElectroB-10_000.xls</t>
  </si>
  <si>
    <t>B-Path-01 000.xls</t>
  </si>
  <si>
    <t>B-Path-02 000.xls</t>
  </si>
  <si>
    <t>B-Path-03 000.xls</t>
  </si>
  <si>
    <t>B-Path-04 000.xls</t>
  </si>
  <si>
    <t>B-Path-05 000.xls</t>
  </si>
  <si>
    <t>B-Path-06 000.xls</t>
  </si>
  <si>
    <t>B-Path-07 000.xls</t>
  </si>
  <si>
    <t>B-Path-08 000.xls</t>
  </si>
  <si>
    <t>B-Path-09 000.xls</t>
  </si>
  <si>
    <t>B-Path-10 000.xls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</si>
</sst>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2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46D24"/>
      <color rgb="FFD5BB67"/>
      <color rgb="FF58135E"/>
      <color rgb="FFC8266B"/>
      <color rgb="FF008081"/>
      <color rgb="FF00B050"/>
      <color rgb="FF059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4D3AF-95B7-459E-8B3B-A15ADE46366D}">
  <dimension ref="A1:AC17"/>
  <sheetViews>
    <sheetView workbookViewId="0">
      <selection activeCell="M2" sqref="M2:AC6"/>
    </sheetView>
  </sheetViews>
  <sheetFormatPr defaultRowHeight="14.5" x14ac:dyDescent="0.35"/>
  <cols>
    <col min="1" max="1" width="10.1796875" bestFit="1" customWidth="1"/>
    <col min="3" max="3" width="17.1796875" bestFit="1" customWidth="1"/>
    <col min="4" max="4" width="8.54296875" bestFit="1" customWidth="1"/>
    <col min="5" max="5" width="10" bestFit="1" customWidth="1"/>
    <col min="6" max="6" width="13.1796875" bestFit="1" customWidth="1"/>
    <col min="7" max="7" width="16.90625" bestFit="1" customWidth="1"/>
    <col min="8" max="8" width="12.81640625" bestFit="1" customWidth="1"/>
    <col min="9" max="9" width="9.6328125" customWidth="1"/>
    <col min="14" max="14" width="17.1796875" bestFit="1" customWidth="1"/>
  </cols>
  <sheetData>
    <row r="1" spans="1: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</v>
      </c>
      <c r="G1" s="1" t="s">
        <v>5</v>
      </c>
      <c r="H1" s="1"/>
      <c r="I1" s="1" t="s">
        <v>6</v>
      </c>
    </row>
    <row r="2" spans="1:29" x14ac:dyDescent="0.35">
      <c r="A2" s="1"/>
      <c r="B2" s="1"/>
      <c r="C2" s="1"/>
      <c r="D2" s="1"/>
      <c r="E2" s="1" t="s">
        <v>7</v>
      </c>
      <c r="F2" s="1" t="s">
        <v>8</v>
      </c>
      <c r="G2" s="1" t="s">
        <v>9</v>
      </c>
      <c r="H2" s="1"/>
      <c r="I2" s="1" t="s">
        <v>10</v>
      </c>
    </row>
    <row r="3" spans="1:29" x14ac:dyDescent="0.35">
      <c r="A3" s="1"/>
      <c r="B3" s="1"/>
      <c r="C3" s="1"/>
      <c r="D3" s="1"/>
      <c r="E3" s="1"/>
      <c r="F3" s="1"/>
      <c r="G3" s="1" t="s">
        <v>11</v>
      </c>
      <c r="H3" s="1"/>
      <c r="I3" s="1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x14ac:dyDescent="0.35">
      <c r="A4" s="1"/>
      <c r="B4" s="1"/>
      <c r="C4" s="1"/>
      <c r="D4" s="1" t="s">
        <v>12</v>
      </c>
      <c r="E4" s="1" t="s">
        <v>13</v>
      </c>
      <c r="F4" s="1" t="s">
        <v>14</v>
      </c>
      <c r="G4" s="1" t="s">
        <v>15</v>
      </c>
      <c r="H4" s="1"/>
      <c r="I4" s="1" t="s">
        <v>16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x14ac:dyDescent="0.35">
      <c r="A5" s="1"/>
      <c r="B5" s="1"/>
      <c r="C5" s="1"/>
      <c r="D5" s="1"/>
      <c r="E5" s="1"/>
      <c r="F5" s="1"/>
      <c r="G5" s="1"/>
      <c r="H5" s="1"/>
      <c r="I5" s="1"/>
    </row>
    <row r="6" spans="1:29" x14ac:dyDescent="0.35">
      <c r="A6" s="1" t="s">
        <v>17</v>
      </c>
      <c r="B6" s="1">
        <v>1</v>
      </c>
      <c r="C6" s="1" t="s">
        <v>18</v>
      </c>
      <c r="D6" s="1">
        <v>2.6120000000000001</v>
      </c>
      <c r="E6" s="1">
        <f>7.468</f>
        <v>7.468</v>
      </c>
      <c r="F6" s="1">
        <v>2.859</v>
      </c>
      <c r="G6" s="1">
        <f>(28.790721/83)</f>
        <v>0.34687615662650606</v>
      </c>
      <c r="H6" s="1"/>
      <c r="I6" s="1">
        <v>36.417999999999999</v>
      </c>
    </row>
    <row r="7" spans="1:29" x14ac:dyDescent="0.35">
      <c r="A7" s="1" t="s">
        <v>19</v>
      </c>
      <c r="B7" s="1">
        <v>3</v>
      </c>
      <c r="C7" s="1" t="s">
        <v>18</v>
      </c>
      <c r="D7" s="1">
        <v>2.6240000000000001</v>
      </c>
      <c r="E7" s="1">
        <f>7.724</f>
        <v>7.7240000000000002</v>
      </c>
      <c r="F7" s="1">
        <v>2.944</v>
      </c>
      <c r="G7" s="1">
        <f>(32.827273/29)</f>
        <v>1.1319749310344827</v>
      </c>
      <c r="H7" s="1"/>
      <c r="I7" s="1">
        <v>43.337000000000003</v>
      </c>
    </row>
    <row r="8" spans="1:29" x14ac:dyDescent="0.35">
      <c r="A8" s="1" t="s">
        <v>20</v>
      </c>
      <c r="B8" s="1">
        <v>4</v>
      </c>
      <c r="C8" s="1" t="s">
        <v>18</v>
      </c>
      <c r="D8" s="1">
        <v>2.585</v>
      </c>
      <c r="E8" s="1">
        <f>7.549</f>
        <v>7.5490000000000004</v>
      </c>
      <c r="F8" s="1">
        <v>2.92</v>
      </c>
      <c r="G8" s="1">
        <f>(37.653846/28)</f>
        <v>1.3447802142857144</v>
      </c>
      <c r="H8" s="1"/>
      <c r="I8" s="1">
        <v>35.777000000000001</v>
      </c>
    </row>
    <row r="9" spans="1:29" x14ac:dyDescent="0.35">
      <c r="A9" s="1" t="s">
        <v>21</v>
      </c>
      <c r="B9" s="1">
        <v>5</v>
      </c>
      <c r="C9" s="1" t="s">
        <v>18</v>
      </c>
      <c r="D9" s="1">
        <v>2.6360000000000001</v>
      </c>
      <c r="E9" s="1">
        <f>7.638</f>
        <v>7.6379999999999999</v>
      </c>
      <c r="F9" s="1">
        <v>2.8980000000000001</v>
      </c>
      <c r="G9" s="1">
        <f>(33.219178/28)</f>
        <v>1.1863992142857143</v>
      </c>
      <c r="H9" s="1"/>
      <c r="I9" s="1">
        <v>38.902999999999999</v>
      </c>
    </row>
    <row r="10" spans="1:29" x14ac:dyDescent="0.35">
      <c r="A10" s="1" t="s">
        <v>22</v>
      </c>
      <c r="B10" s="1">
        <v>6</v>
      </c>
      <c r="C10" s="1" t="s">
        <v>18</v>
      </c>
      <c r="D10" s="1">
        <v>2.6560000000000001</v>
      </c>
      <c r="E10" s="1">
        <f>7.751</f>
        <v>7.7510000000000003</v>
      </c>
      <c r="F10" s="1">
        <v>2.9180000000000001</v>
      </c>
      <c r="G10" s="1">
        <f>(34.365297/29)</f>
        <v>1.1850102413793102</v>
      </c>
      <c r="H10" s="1"/>
      <c r="I10" s="1">
        <v>41.747</v>
      </c>
    </row>
    <row r="11" spans="1:29" x14ac:dyDescent="0.35">
      <c r="A11" s="1" t="s">
        <v>23</v>
      </c>
      <c r="B11" s="1">
        <v>7</v>
      </c>
      <c r="C11" s="1" t="s">
        <v>18</v>
      </c>
      <c r="D11" s="1">
        <v>2.617</v>
      </c>
      <c r="E11" s="1">
        <f>7.674</f>
        <v>7.6740000000000004</v>
      </c>
      <c r="F11" s="1">
        <v>2.9319999999999999</v>
      </c>
      <c r="G11" s="1">
        <f>(30.16055/28)</f>
        <v>1.0771625</v>
      </c>
      <c r="H11" s="1"/>
      <c r="I11" s="1">
        <v>51.469000000000001</v>
      </c>
    </row>
    <row r="12" spans="1:29" x14ac:dyDescent="0.35">
      <c r="A12" s="1" t="s">
        <v>24</v>
      </c>
      <c r="B12" s="1">
        <v>8</v>
      </c>
      <c r="C12" s="1" t="s">
        <v>18</v>
      </c>
      <c r="D12" s="1">
        <v>2.6339999999999999</v>
      </c>
      <c r="E12" s="1">
        <f>7.942</f>
        <v>7.9420000000000002</v>
      </c>
      <c r="F12" s="1">
        <v>3.0150000000000001</v>
      </c>
      <c r="G12" s="1">
        <f>(30.913527/125)</f>
        <v>0.247308216</v>
      </c>
      <c r="H12" s="1"/>
      <c r="I12" s="1">
        <v>50.045999999999999</v>
      </c>
    </row>
    <row r="13" spans="1:29" x14ac:dyDescent="0.35">
      <c r="A13" s="1" t="s">
        <v>25</v>
      </c>
      <c r="B13" s="1">
        <v>9</v>
      </c>
      <c r="C13" s="1" t="s">
        <v>18</v>
      </c>
      <c r="D13" s="1">
        <v>2.585</v>
      </c>
      <c r="E13" s="1">
        <f>7.848</f>
        <v>7.8479999999999999</v>
      </c>
      <c r="F13" s="1">
        <v>3.036</v>
      </c>
      <c r="G13" s="1">
        <f>(33.146119/29)</f>
        <v>1.1429696206896551</v>
      </c>
      <c r="H13" s="1"/>
      <c r="I13" s="1">
        <v>52.579000000000001</v>
      </c>
    </row>
    <row r="14" spans="1:29" x14ac:dyDescent="0.35">
      <c r="A14" s="1" t="s">
        <v>26</v>
      </c>
      <c r="B14" s="1">
        <v>10</v>
      </c>
      <c r="C14" s="1" t="s">
        <v>18</v>
      </c>
      <c r="D14" s="1">
        <v>2.6190000000000002</v>
      </c>
      <c r="E14" s="1">
        <f>7.739</f>
        <v>7.7389999999999999</v>
      </c>
      <c r="F14" s="1">
        <v>2.9550000000000001</v>
      </c>
      <c r="G14" s="1">
        <f>(32.987234/29)</f>
        <v>1.137490827586207</v>
      </c>
      <c r="H14" s="1"/>
      <c r="I14" s="1">
        <v>39.871009999999998</v>
      </c>
    </row>
    <row r="15" spans="1:29" x14ac:dyDescent="0.35">
      <c r="A15" s="1" t="s">
        <v>27</v>
      </c>
      <c r="B15" s="1">
        <v>2</v>
      </c>
      <c r="C15" s="1" t="s">
        <v>18</v>
      </c>
      <c r="D15" s="1">
        <v>2.5880000000000001</v>
      </c>
      <c r="E15" s="1">
        <f>7.425</f>
        <v>7.4249999999999998</v>
      </c>
      <c r="F15" s="1">
        <v>2.8690000000000002</v>
      </c>
      <c r="G15" s="1">
        <f>(30.835616/28)</f>
        <v>1.101272</v>
      </c>
      <c r="H15" s="1"/>
      <c r="I15" s="1">
        <v>74.201999999999998</v>
      </c>
    </row>
    <row r="16" spans="1:29" s="2" customFormat="1" ht="23" customHeight="1" x14ac:dyDescent="0.35">
      <c r="C16" s="3" t="s">
        <v>28</v>
      </c>
      <c r="D16" s="3">
        <f>AVERAGE(D6:D15)</f>
        <v>2.6156000000000001</v>
      </c>
      <c r="E16" s="3">
        <f t="shared" ref="E16:G16" si="0">AVERAGE(E6:E15)</f>
        <v>7.6757999999999997</v>
      </c>
      <c r="F16" s="3">
        <f t="shared" si="0"/>
        <v>2.9345999999999997</v>
      </c>
      <c r="G16" s="3">
        <f t="shared" si="0"/>
        <v>0.99012439218875892</v>
      </c>
      <c r="H16" s="3"/>
      <c r="I16" s="3">
        <f t="shared" ref="I16" si="1">AVERAGE(I6:I15)</f>
        <v>46.434901000000004</v>
      </c>
    </row>
    <row r="17" spans="3:9" ht="31" customHeight="1" x14ac:dyDescent="0.35">
      <c r="C17" s="4" t="s">
        <v>29</v>
      </c>
      <c r="D17" s="4">
        <f>_xlfn.STDEV.P(D6:D15)</f>
        <v>2.2623881187806866E-2</v>
      </c>
      <c r="E17" s="4">
        <f t="shared" ref="E17:I17" si="2">_xlfn.STDEV.P(E6:E15)</f>
        <v>0.15364882036644475</v>
      </c>
      <c r="F17" s="4">
        <f t="shared" si="2"/>
        <v>5.3948493954882548E-2</v>
      </c>
      <c r="G17" s="4">
        <f t="shared" si="2"/>
        <v>0.35397157297930126</v>
      </c>
      <c r="H17" s="4"/>
      <c r="I17" s="4">
        <f t="shared" si="2"/>
        <v>10.91998485173897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06C1B-AC13-455D-A248-CBD178FBB5E8}">
  <dimension ref="A1:I39"/>
  <sheetViews>
    <sheetView workbookViewId="0">
      <selection activeCell="E51" sqref="E51"/>
    </sheetView>
  </sheetViews>
  <sheetFormatPr defaultRowHeight="14.5" x14ac:dyDescent="0.35"/>
  <cols>
    <col min="1" max="1" width="19.36328125" bestFit="1" customWidth="1"/>
    <col min="3" max="3" width="17.1796875" bestFit="1" customWidth="1"/>
    <col min="5" max="5" width="11.81640625" bestFit="1" customWidth="1"/>
    <col min="6" max="6" width="13.1796875" bestFit="1" customWidth="1"/>
    <col min="7" max="7" width="16.90625" bestFit="1" customWidth="1"/>
    <col min="8" max="8" width="12.81640625" bestFit="1" customWidth="1"/>
    <col min="9" max="9" width="9.632812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</v>
      </c>
      <c r="G1" s="1" t="s">
        <v>5</v>
      </c>
      <c r="H1" s="1"/>
      <c r="I1" s="1" t="s">
        <v>6</v>
      </c>
    </row>
    <row r="2" spans="1:9" x14ac:dyDescent="0.35">
      <c r="A2" s="1"/>
      <c r="B2" s="1"/>
      <c r="C2" s="1"/>
      <c r="D2" s="1"/>
      <c r="E2" s="1" t="s">
        <v>7</v>
      </c>
      <c r="F2" s="1" t="s">
        <v>8</v>
      </c>
      <c r="G2" s="1" t="s">
        <v>9</v>
      </c>
      <c r="H2" s="1"/>
      <c r="I2" s="1" t="s">
        <v>10</v>
      </c>
    </row>
    <row r="3" spans="1:9" x14ac:dyDescent="0.35">
      <c r="A3" s="1"/>
      <c r="B3" s="1"/>
      <c r="C3" s="1"/>
      <c r="D3" s="1"/>
      <c r="E3" s="1"/>
      <c r="F3" s="1"/>
      <c r="G3" s="1" t="s">
        <v>11</v>
      </c>
      <c r="H3" s="1"/>
      <c r="I3" s="1"/>
    </row>
    <row r="4" spans="1:9" x14ac:dyDescent="0.35">
      <c r="A4" s="1"/>
      <c r="B4" s="1"/>
      <c r="C4" s="1"/>
      <c r="D4" s="1" t="s">
        <v>12</v>
      </c>
      <c r="E4" s="1" t="s">
        <v>13</v>
      </c>
      <c r="F4" s="1" t="s">
        <v>14</v>
      </c>
      <c r="G4" s="1" t="s">
        <v>15</v>
      </c>
      <c r="H4" s="1"/>
      <c r="I4" s="1" t="s">
        <v>16</v>
      </c>
    </row>
    <row r="5" spans="1:9" x14ac:dyDescent="0.35">
      <c r="A5" s="1"/>
      <c r="B5" s="1"/>
      <c r="C5" s="1"/>
      <c r="D5" s="1"/>
      <c r="E5" s="1"/>
      <c r="F5" s="1"/>
      <c r="G5" s="1"/>
      <c r="H5" s="1"/>
      <c r="I5" s="1"/>
    </row>
    <row r="6" spans="1:9" x14ac:dyDescent="0.35">
      <c r="A6" s="1" t="s">
        <v>71</v>
      </c>
      <c r="B6" s="1">
        <v>1</v>
      </c>
      <c r="C6" s="1" t="s">
        <v>18</v>
      </c>
      <c r="D6" s="1">
        <v>4.0330000000000004</v>
      </c>
      <c r="E6" s="1">
        <f>6.878</f>
        <v>6.8780000000000001</v>
      </c>
      <c r="F6" s="1">
        <v>1.7050000000000001</v>
      </c>
      <c r="G6" s="1">
        <f>(26.86993/427)</f>
        <v>6.2927236533957848E-2</v>
      </c>
      <c r="H6" s="1"/>
      <c r="I6" s="1">
        <v>139.75299999999999</v>
      </c>
    </row>
    <row r="7" spans="1:9" x14ac:dyDescent="0.35">
      <c r="A7" s="1" t="s">
        <v>72</v>
      </c>
      <c r="B7" s="1">
        <v>3</v>
      </c>
      <c r="C7" s="1" t="s">
        <v>18</v>
      </c>
      <c r="D7" s="1">
        <v>4.0490000000000004</v>
      </c>
      <c r="E7" s="1">
        <f>6.767</f>
        <v>6.7670000000000003</v>
      </c>
      <c r="F7" s="1">
        <v>1.671</v>
      </c>
      <c r="G7" s="1">
        <f>(24.942589/507)</f>
        <v>4.9196428007889551E-2</v>
      </c>
      <c r="H7" s="1"/>
      <c r="I7" s="1">
        <v>163.93899999999999</v>
      </c>
    </row>
    <row r="8" spans="1:9" x14ac:dyDescent="0.35">
      <c r="A8" s="1" t="s">
        <v>73</v>
      </c>
      <c r="B8" s="1">
        <v>4</v>
      </c>
      <c r="C8" s="1" t="s">
        <v>18</v>
      </c>
      <c r="D8" s="1">
        <v>3.97</v>
      </c>
      <c r="E8" s="1">
        <f>6.772</f>
        <v>6.7720000000000002</v>
      </c>
      <c r="F8" s="1">
        <v>1.706</v>
      </c>
      <c r="G8" s="1">
        <f>(24.928313/306)</f>
        <v>8.1465075163398695E-2</v>
      </c>
      <c r="H8" s="1"/>
      <c r="I8" s="1">
        <v>106.908</v>
      </c>
    </row>
    <row r="9" spans="1:9" x14ac:dyDescent="0.35">
      <c r="A9" s="1" t="s">
        <v>74</v>
      </c>
      <c r="B9" s="1">
        <v>5</v>
      </c>
      <c r="C9" s="1" t="s">
        <v>18</v>
      </c>
      <c r="D9" s="1">
        <v>4.9359999999999999</v>
      </c>
      <c r="E9" s="1">
        <f>6.216</f>
        <v>6.2160000000000002</v>
      </c>
      <c r="F9" s="1">
        <v>1.2589999999999999</v>
      </c>
      <c r="G9" s="1">
        <f>(22.927906/323)</f>
        <v>7.0984229102167187E-2</v>
      </c>
      <c r="H9" s="1"/>
      <c r="I9" s="1">
        <v>114.003</v>
      </c>
    </row>
    <row r="10" spans="1:9" x14ac:dyDescent="0.35">
      <c r="A10" s="1" t="s">
        <v>75</v>
      </c>
      <c r="B10" s="1">
        <v>6</v>
      </c>
      <c r="C10" s="1" t="s">
        <v>18</v>
      </c>
      <c r="D10" s="1">
        <v>4.5410000000000004</v>
      </c>
      <c r="E10" s="1">
        <f>7.28</f>
        <v>7.28</v>
      </c>
      <c r="F10" s="1">
        <v>1.603</v>
      </c>
      <c r="G10" s="1">
        <f>(26.873191/663)</f>
        <v>4.053271644042232E-2</v>
      </c>
      <c r="H10" s="1"/>
      <c r="I10" s="1">
        <v>211.595</v>
      </c>
    </row>
    <row r="11" spans="1:9" x14ac:dyDescent="0.35">
      <c r="A11" s="1" t="s">
        <v>76</v>
      </c>
      <c r="B11" s="1">
        <v>7</v>
      </c>
      <c r="C11" s="1" t="s">
        <v>18</v>
      </c>
      <c r="D11" s="1">
        <v>4.47</v>
      </c>
      <c r="E11" s="1">
        <f>7.127</f>
        <v>7.1269999999999998</v>
      </c>
      <c r="F11" s="1">
        <v>1.5940000000000001</v>
      </c>
      <c r="G11" s="1">
        <f>(27.723161/439)</f>
        <v>6.3150708428246022E-2</v>
      </c>
      <c r="H11" s="1"/>
      <c r="I11" s="1">
        <v>155.90100000000001</v>
      </c>
    </row>
    <row r="12" spans="1:9" x14ac:dyDescent="0.35">
      <c r="A12" s="1" t="s">
        <v>77</v>
      </c>
      <c r="B12" s="1">
        <v>8</v>
      </c>
      <c r="C12" s="1" t="s">
        <v>18</v>
      </c>
      <c r="D12" s="1">
        <v>4.1740000000000004</v>
      </c>
      <c r="E12" s="1">
        <f>7.433</f>
        <v>7.4329999999999998</v>
      </c>
      <c r="F12" s="1">
        <v>1.7809999999999999</v>
      </c>
      <c r="G12" s="1">
        <f>(28.887514/530)</f>
        <v>5.4504743396226414E-2</v>
      </c>
      <c r="H12" s="1"/>
      <c r="I12" s="1">
        <v>169.07</v>
      </c>
    </row>
    <row r="13" spans="1:9" x14ac:dyDescent="0.35">
      <c r="A13" s="1" t="s">
        <v>78</v>
      </c>
      <c r="B13" s="1">
        <v>9</v>
      </c>
      <c r="C13" s="1" t="s">
        <v>18</v>
      </c>
      <c r="D13" s="1">
        <v>4.2270000000000003</v>
      </c>
      <c r="E13" s="1">
        <f>7.68</f>
        <v>7.68</v>
      </c>
      <c r="F13" s="1">
        <v>1.8169999999999999</v>
      </c>
      <c r="G13" s="1">
        <f>(28.251568/349)</f>
        <v>8.0950051575931228E-2</v>
      </c>
      <c r="H13" s="1"/>
      <c r="I13" s="1">
        <v>125.46</v>
      </c>
    </row>
    <row r="14" spans="1:9" x14ac:dyDescent="0.35">
      <c r="A14" s="1" t="s">
        <v>79</v>
      </c>
      <c r="B14" s="1">
        <v>10</v>
      </c>
      <c r="C14" s="1" t="s">
        <v>18</v>
      </c>
      <c r="D14" s="1">
        <v>4.5949999999999998</v>
      </c>
      <c r="E14" s="1">
        <f>7.023</f>
        <v>7.0229999999999997</v>
      </c>
      <c r="F14" s="1">
        <v>1.528</v>
      </c>
      <c r="G14" s="1">
        <f>(25.92488/399)</f>
        <v>6.4974636591478702E-2</v>
      </c>
      <c r="H14" s="1"/>
      <c r="I14" s="1">
        <v>145.51599999999999</v>
      </c>
    </row>
    <row r="15" spans="1:9" x14ac:dyDescent="0.35">
      <c r="A15" s="1" t="s">
        <v>80</v>
      </c>
      <c r="B15" s="1">
        <v>2</v>
      </c>
      <c r="C15" s="1" t="s">
        <v>18</v>
      </c>
      <c r="D15" s="1">
        <v>4.0540000000000003</v>
      </c>
      <c r="E15" s="1">
        <f>7.776</f>
        <v>7.7759999999999998</v>
      </c>
      <c r="F15" s="1">
        <v>1.9179999999999999</v>
      </c>
      <c r="G15" s="1">
        <f>(28.552638/493)</f>
        <v>5.7916101419878296E-2</v>
      </c>
      <c r="H15" s="1"/>
      <c r="I15" s="1">
        <v>172.298</v>
      </c>
    </row>
    <row r="16" spans="1:9" ht="21.5" customHeight="1" x14ac:dyDescent="0.35">
      <c r="A16" s="1"/>
      <c r="B16" s="1"/>
      <c r="C16" s="3" t="s">
        <v>28</v>
      </c>
      <c r="D16" s="3">
        <f>AVERAGE(D6:D15)</f>
        <v>4.3048999999999999</v>
      </c>
      <c r="E16" s="3">
        <f t="shared" ref="E16:G16" si="0">AVERAGE(E6:E15)</f>
        <v>7.0952000000000002</v>
      </c>
      <c r="F16" s="3">
        <f t="shared" si="0"/>
        <v>1.6582000000000001</v>
      </c>
      <c r="G16" s="3">
        <f t="shared" si="0"/>
        <v>6.2660192665959638E-2</v>
      </c>
      <c r="H16" s="3"/>
      <c r="I16" s="3">
        <f t="shared" ref="I16" si="1">AVERAGE(I6:I15)</f>
        <v>150.44430000000003</v>
      </c>
    </row>
    <row r="17" spans="1:9" ht="32" customHeight="1" x14ac:dyDescent="0.35">
      <c r="A17" s="1"/>
      <c r="B17" s="1"/>
      <c r="C17" s="4" t="s">
        <v>29</v>
      </c>
      <c r="D17" s="4">
        <f>_xlfn.STDEV.P(D6:D15)</f>
        <v>0.30052835140798267</v>
      </c>
      <c r="E17" s="4">
        <f t="shared" ref="E17:I17" si="2">_xlfn.STDEV.P(E6:E15)</f>
        <v>0.44635250643409619</v>
      </c>
      <c r="F17" s="4">
        <f t="shared" si="2"/>
        <v>0.1720213940183023</v>
      </c>
      <c r="G17" s="4">
        <f t="shared" si="2"/>
        <v>1.2341055925354472E-2</v>
      </c>
      <c r="H17" s="4"/>
      <c r="I17" s="4">
        <f t="shared" si="2"/>
        <v>29.600636081172173</v>
      </c>
    </row>
    <row r="18" spans="1:9" x14ac:dyDescent="0.3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35">
      <c r="A20" s="1" t="s">
        <v>81</v>
      </c>
      <c r="B20" s="1">
        <v>11</v>
      </c>
      <c r="C20" s="1" t="s">
        <v>18</v>
      </c>
      <c r="D20" s="1">
        <v>2.7770000000000001</v>
      </c>
      <c r="E20" s="1">
        <f>8.439</f>
        <v>8.4390000000000001</v>
      </c>
      <c r="F20" s="1">
        <v>3.0390000000000001</v>
      </c>
      <c r="G20" s="1">
        <f>(31.147631/252)</f>
        <v>0.12360171031746033</v>
      </c>
      <c r="H20" s="1"/>
      <c r="I20" s="1">
        <v>102.952</v>
      </c>
    </row>
    <row r="21" spans="1:9" x14ac:dyDescent="0.35">
      <c r="A21" s="1" t="s">
        <v>82</v>
      </c>
      <c r="B21" s="1">
        <v>12</v>
      </c>
      <c r="C21" s="1" t="s">
        <v>18</v>
      </c>
      <c r="D21" s="1">
        <v>2.7120000000000002</v>
      </c>
      <c r="E21" s="1">
        <f>8.245</f>
        <v>8.2449999999999992</v>
      </c>
      <c r="F21" s="1">
        <v>3.04</v>
      </c>
      <c r="G21" s="1">
        <f>(30.330213/285)</f>
        <v>0.1064218</v>
      </c>
      <c r="H21" s="1"/>
      <c r="I21" s="1">
        <v>103.328</v>
      </c>
    </row>
    <row r="22" spans="1:9" x14ac:dyDescent="0.35">
      <c r="A22" s="1" t="s">
        <v>83</v>
      </c>
      <c r="B22" s="1">
        <v>13</v>
      </c>
      <c r="C22" s="1" t="s">
        <v>18</v>
      </c>
      <c r="D22" s="1">
        <v>2.7789999999999999</v>
      </c>
      <c r="E22" s="1">
        <f>8.52</f>
        <v>8.52</v>
      </c>
      <c r="F22" s="1">
        <v>3.0659999999999998</v>
      </c>
      <c r="G22" s="1">
        <f>(33.175677/262)</f>
        <v>0.12662472137404579</v>
      </c>
      <c r="H22" s="1"/>
      <c r="I22" s="1">
        <v>102.389</v>
      </c>
    </row>
    <row r="23" spans="1:9" x14ac:dyDescent="0.35">
      <c r="A23" s="1" t="s">
        <v>84</v>
      </c>
      <c r="B23" s="1">
        <v>14</v>
      </c>
      <c r="C23" s="1" t="s">
        <v>18</v>
      </c>
      <c r="D23" s="1">
        <v>2.7770000000000001</v>
      </c>
      <c r="E23" s="1">
        <f>8.261</f>
        <v>8.2609999999999992</v>
      </c>
      <c r="F23" s="1">
        <v>2.9750000000000001</v>
      </c>
      <c r="G23" s="1">
        <f>(32.113135/226)</f>
        <v>0.14209351769911505</v>
      </c>
      <c r="H23" s="1"/>
      <c r="I23" s="1">
        <v>87.760999999999996</v>
      </c>
    </row>
    <row r="24" spans="1:9" x14ac:dyDescent="0.35">
      <c r="A24" s="1" t="s">
        <v>85</v>
      </c>
      <c r="B24" s="1">
        <v>15</v>
      </c>
      <c r="C24" s="1" t="s">
        <v>18</v>
      </c>
      <c r="D24" s="1">
        <v>2.7170000000000001</v>
      </c>
      <c r="E24" s="1">
        <f>8.342</f>
        <v>8.3420000000000005</v>
      </c>
      <c r="F24" s="1">
        <v>3.07</v>
      </c>
      <c r="G24" s="1">
        <f>(32.545973/229)</f>
        <v>0.14212215283842794</v>
      </c>
      <c r="H24" s="1"/>
      <c r="I24" s="1">
        <v>90.058000000000007</v>
      </c>
    </row>
    <row r="25" spans="1:9" x14ac:dyDescent="0.35">
      <c r="A25" s="1" t="s">
        <v>86</v>
      </c>
      <c r="B25" s="1">
        <v>16</v>
      </c>
      <c r="C25" s="1" t="s">
        <v>18</v>
      </c>
      <c r="D25" s="1">
        <v>2.762</v>
      </c>
      <c r="E25" s="1">
        <f>8.411</f>
        <v>8.4109999999999996</v>
      </c>
      <c r="F25" s="1">
        <v>3.0449999999999999</v>
      </c>
      <c r="G25" s="1">
        <f>(32.844333/249)</f>
        <v>0.13190495180722892</v>
      </c>
      <c r="H25" s="1"/>
      <c r="I25" s="1">
        <v>92.399000000000001</v>
      </c>
    </row>
    <row r="26" spans="1:9" x14ac:dyDescent="0.35">
      <c r="A26" s="1" t="s">
        <v>87</v>
      </c>
      <c r="B26" s="1">
        <v>17</v>
      </c>
      <c r="C26" s="1" t="s">
        <v>18</v>
      </c>
      <c r="D26" s="1">
        <v>2.6909999999999998</v>
      </c>
      <c r="E26" s="1">
        <f>8.305</f>
        <v>8.3049999999999997</v>
      </c>
      <c r="F26" s="1">
        <v>3.0859999999999999</v>
      </c>
      <c r="G26" s="1">
        <f>(30.668813/291)</f>
        <v>0.10539110996563573</v>
      </c>
      <c r="H26" s="1"/>
      <c r="I26" s="1">
        <v>102.313</v>
      </c>
    </row>
    <row r="27" spans="1:9" x14ac:dyDescent="0.35">
      <c r="A27" s="1" t="s">
        <v>88</v>
      </c>
      <c r="B27" s="1">
        <v>18</v>
      </c>
      <c r="C27" s="1" t="s">
        <v>18</v>
      </c>
      <c r="D27" s="1">
        <v>2.8029999999999999</v>
      </c>
      <c r="E27" s="1">
        <f>8.491</f>
        <v>8.4909999999999997</v>
      </c>
      <c r="F27" s="1">
        <v>3.0289999999999999</v>
      </c>
      <c r="G27" s="1">
        <f>(32.87814/251)</f>
        <v>0.13098860557768924</v>
      </c>
      <c r="H27" s="1"/>
      <c r="I27" s="1">
        <v>93.480999999999995</v>
      </c>
    </row>
    <row r="28" spans="1:9" x14ac:dyDescent="0.35">
      <c r="A28" s="1" t="s">
        <v>89</v>
      </c>
      <c r="B28" s="1">
        <v>19</v>
      </c>
      <c r="C28" s="1" t="s">
        <v>18</v>
      </c>
      <c r="D28" s="1">
        <v>3.097</v>
      </c>
      <c r="E28" s="1">
        <f>7.801</f>
        <v>7.8010000000000002</v>
      </c>
      <c r="F28" s="1">
        <v>2.5190000000000001</v>
      </c>
      <c r="G28" s="1">
        <f>(28.975308/269)</f>
        <v>0.10771489962825279</v>
      </c>
      <c r="H28" s="1"/>
      <c r="I28" s="1">
        <v>97.200999999999993</v>
      </c>
    </row>
    <row r="29" spans="1:9" x14ac:dyDescent="0.35">
      <c r="A29" s="1" t="s">
        <v>90</v>
      </c>
      <c r="B29" s="1">
        <v>20</v>
      </c>
      <c r="C29" s="1" t="s">
        <v>18</v>
      </c>
      <c r="D29" s="1">
        <v>2.5840000000000001</v>
      </c>
      <c r="E29" s="1">
        <f>8.04</f>
        <v>8.0399999999999991</v>
      </c>
      <c r="F29" s="1">
        <v>3.1110000000000002</v>
      </c>
      <c r="G29" s="1">
        <f>(30/29)</f>
        <v>1.0344827586206897</v>
      </c>
      <c r="H29" s="1"/>
      <c r="I29" s="1">
        <v>169.298</v>
      </c>
    </row>
    <row r="30" spans="1:9" ht="39.5" customHeight="1" x14ac:dyDescent="0.35">
      <c r="A30" s="1"/>
      <c r="B30" s="1"/>
      <c r="C30" s="3" t="s">
        <v>28</v>
      </c>
      <c r="D30" s="3">
        <f>AVERAGE(D20:D29)</f>
        <v>2.7699000000000003</v>
      </c>
      <c r="E30" s="3">
        <f t="shared" ref="E30:G30" si="3">AVERAGE(E20:E29)</f>
        <v>8.285499999999999</v>
      </c>
      <c r="F30" s="3">
        <f t="shared" si="3"/>
        <v>2.9980000000000002</v>
      </c>
      <c r="G30" s="3">
        <f t="shared" si="3"/>
        <v>0.21513462278285456</v>
      </c>
      <c r="H30" s="3"/>
      <c r="I30" s="3">
        <f t="shared" ref="I30" si="4">AVERAGE(I20:I29)</f>
        <v>104.11799999999998</v>
      </c>
    </row>
    <row r="31" spans="1:9" ht="48.5" customHeight="1" x14ac:dyDescent="0.35">
      <c r="A31" s="1"/>
      <c r="B31" s="1"/>
      <c r="C31" s="4" t="s">
        <v>29</v>
      </c>
      <c r="D31" s="4">
        <f>_xlfn.STDEV.P(D20:D29)</f>
        <v>0.1246077445426246</v>
      </c>
      <c r="E31" s="4">
        <f t="shared" ref="E31:G31" si="5">_xlfn.STDEV.P(E20:E29)</f>
        <v>0.20913070075911858</v>
      </c>
      <c r="F31" s="4">
        <f t="shared" si="5"/>
        <v>0.16337258031873028</v>
      </c>
      <c r="G31" s="4">
        <f t="shared" si="5"/>
        <v>0.27342609822759484</v>
      </c>
      <c r="H31" s="4"/>
      <c r="I31" s="4">
        <f t="shared" ref="I31" si="6">_xlfn.STDEV.P(I20:I29)</f>
        <v>22.405856801291993</v>
      </c>
    </row>
    <row r="39" spans="5:5" x14ac:dyDescent="0.35">
      <c r="E39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EBDC-D9CE-4BB2-B70B-0823F20496F5}">
  <dimension ref="A1:I34"/>
  <sheetViews>
    <sheetView topLeftCell="D1" workbookViewId="0">
      <selection activeCell="J1" sqref="J1:X1048576"/>
    </sheetView>
  </sheetViews>
  <sheetFormatPr defaultRowHeight="14.5" x14ac:dyDescent="0.35"/>
  <cols>
    <col min="1" max="1" width="20.453125" bestFit="1" customWidth="1"/>
    <col min="3" max="3" width="17.1796875" bestFit="1" customWidth="1"/>
    <col min="5" max="5" width="10" bestFit="1" customWidth="1"/>
    <col min="6" max="6" width="13.1796875" bestFit="1" customWidth="1"/>
    <col min="7" max="7" width="16.9062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</v>
      </c>
      <c r="G1" s="1" t="s">
        <v>5</v>
      </c>
      <c r="H1" s="1"/>
      <c r="I1" s="1" t="s">
        <v>6</v>
      </c>
    </row>
    <row r="2" spans="1:9" x14ac:dyDescent="0.35">
      <c r="A2" s="1"/>
      <c r="B2" s="1"/>
      <c r="C2" s="1"/>
      <c r="D2" s="1"/>
      <c r="E2" s="1" t="s">
        <v>7</v>
      </c>
      <c r="F2" s="1" t="s">
        <v>8</v>
      </c>
      <c r="G2" s="1" t="s">
        <v>9</v>
      </c>
      <c r="H2" s="1"/>
      <c r="I2" s="1" t="s">
        <v>10</v>
      </c>
    </row>
    <row r="3" spans="1:9" x14ac:dyDescent="0.35">
      <c r="A3" s="1"/>
      <c r="B3" s="1"/>
      <c r="C3" s="1"/>
      <c r="D3" s="1"/>
      <c r="E3" s="1"/>
      <c r="F3" s="1"/>
      <c r="G3" s="1" t="s">
        <v>11</v>
      </c>
      <c r="H3" s="1"/>
      <c r="I3" s="1"/>
    </row>
    <row r="4" spans="1:9" x14ac:dyDescent="0.35">
      <c r="A4" s="1"/>
      <c r="B4" s="1"/>
      <c r="C4" s="1"/>
      <c r="D4" s="1" t="s">
        <v>12</v>
      </c>
      <c r="E4" s="1" t="s">
        <v>13</v>
      </c>
      <c r="F4" s="1" t="s">
        <v>14</v>
      </c>
      <c r="G4" s="1" t="s">
        <v>15</v>
      </c>
      <c r="H4" s="1"/>
      <c r="I4" s="1" t="s">
        <v>16</v>
      </c>
    </row>
    <row r="5" spans="1:9" x14ac:dyDescent="0.35">
      <c r="A5" s="1"/>
      <c r="B5" s="1"/>
      <c r="C5" s="1"/>
      <c r="D5" s="1"/>
      <c r="E5" s="1"/>
      <c r="F5" s="1"/>
      <c r="G5" s="1"/>
      <c r="H5" s="1"/>
      <c r="I5" s="1"/>
    </row>
    <row r="6" spans="1:9" x14ac:dyDescent="0.35">
      <c r="A6" s="1" t="s">
        <v>30</v>
      </c>
      <c r="B6" s="1">
        <v>1</v>
      </c>
      <c r="C6" s="1" t="s">
        <v>18</v>
      </c>
      <c r="D6" s="1">
        <v>3.056</v>
      </c>
      <c r="E6" s="1">
        <f>10.382</f>
        <v>10.382</v>
      </c>
      <c r="F6" s="1">
        <v>3.3969999999999998</v>
      </c>
      <c r="G6" s="1">
        <f>(40.589041/38)</f>
        <v>1.068132657894737</v>
      </c>
      <c r="H6" s="1"/>
      <c r="I6" s="1">
        <v>132.25700000000001</v>
      </c>
    </row>
    <row r="7" spans="1:9" x14ac:dyDescent="0.35">
      <c r="A7" s="1"/>
      <c r="B7" s="1"/>
      <c r="C7" s="1"/>
      <c r="D7" s="1"/>
      <c r="E7" s="1"/>
      <c r="F7" s="1"/>
      <c r="G7" s="1"/>
      <c r="H7" s="1"/>
      <c r="I7" s="1"/>
    </row>
    <row r="8" spans="1:9" x14ac:dyDescent="0.35">
      <c r="A8" s="1"/>
      <c r="B8" s="1"/>
      <c r="C8" s="1"/>
      <c r="D8" s="1"/>
      <c r="E8" s="1"/>
      <c r="F8" s="1"/>
      <c r="G8" s="1"/>
      <c r="H8" s="1"/>
      <c r="I8" s="1"/>
    </row>
    <row r="9" spans="1:9" x14ac:dyDescent="0.35">
      <c r="A9" s="1"/>
      <c r="B9" s="1"/>
      <c r="C9" s="1"/>
      <c r="D9" s="1"/>
      <c r="E9" s="1"/>
      <c r="F9" s="1"/>
      <c r="G9" s="1"/>
      <c r="H9" s="1"/>
      <c r="I9" s="1"/>
    </row>
    <row r="10" spans="1:9" x14ac:dyDescent="0.35">
      <c r="A10" s="1" t="s">
        <v>31</v>
      </c>
      <c r="B10" s="1">
        <v>3</v>
      </c>
      <c r="C10" s="1" t="s">
        <v>18</v>
      </c>
      <c r="D10" s="1">
        <v>3.12</v>
      </c>
      <c r="E10" s="1">
        <f>10.214</f>
        <v>10.214</v>
      </c>
      <c r="F10" s="1">
        <v>3.274</v>
      </c>
      <c r="G10" s="1">
        <f>(38/37)</f>
        <v>1.027027027027027</v>
      </c>
      <c r="H10" s="1"/>
      <c r="I10" s="1">
        <v>162.42400000000001</v>
      </c>
    </row>
    <row r="11" spans="1:9" x14ac:dyDescent="0.35">
      <c r="A11" s="1" t="s">
        <v>32</v>
      </c>
      <c r="B11" s="1">
        <v>4</v>
      </c>
      <c r="C11" s="1" t="s">
        <v>18</v>
      </c>
      <c r="D11" s="1">
        <v>3.1579999999999999</v>
      </c>
      <c r="E11" s="1">
        <f>8.685</f>
        <v>8.6850000000000005</v>
      </c>
      <c r="F11" s="1">
        <v>2.75</v>
      </c>
      <c r="G11" s="1">
        <f>(34.972477/32)</f>
        <v>1.0928899062499999</v>
      </c>
      <c r="H11" s="1"/>
      <c r="I11" s="1">
        <v>131.35300000000001</v>
      </c>
    </row>
    <row r="12" spans="1:9" x14ac:dyDescent="0.35">
      <c r="A12" s="1" t="s">
        <v>33</v>
      </c>
      <c r="B12" s="1">
        <v>5</v>
      </c>
      <c r="C12" s="1" t="s">
        <v>18</v>
      </c>
      <c r="D12" s="1">
        <v>3.0249999999999999</v>
      </c>
      <c r="E12" s="1">
        <f>10.073</f>
        <v>10.073</v>
      </c>
      <c r="F12" s="1">
        <v>3.33</v>
      </c>
      <c r="G12" s="1">
        <f>(40.073059/37)</f>
        <v>1.0830556486486487</v>
      </c>
      <c r="H12" s="1"/>
      <c r="I12" s="1">
        <v>121.35</v>
      </c>
    </row>
    <row r="13" spans="1:9" x14ac:dyDescent="0.35">
      <c r="A13" s="1" t="s">
        <v>34</v>
      </c>
      <c r="B13" s="1">
        <v>6</v>
      </c>
      <c r="C13" s="1" t="s">
        <v>18</v>
      </c>
      <c r="D13" s="1">
        <v>2.952</v>
      </c>
      <c r="E13" s="1">
        <f>9.933</f>
        <v>9.9329999999999998</v>
      </c>
      <c r="F13" s="1">
        <v>3.3650000000000002</v>
      </c>
      <c r="G13" s="1">
        <f>(38.922374/36)</f>
        <v>1.0811770555555555</v>
      </c>
      <c r="H13" s="1"/>
      <c r="I13" s="1">
        <v>123.56399999999999</v>
      </c>
    </row>
    <row r="14" spans="1:9" x14ac:dyDescent="0.35">
      <c r="A14" s="1" t="s">
        <v>35</v>
      </c>
      <c r="B14" s="1">
        <v>7</v>
      </c>
      <c r="C14" s="1" t="s">
        <v>18</v>
      </c>
      <c r="D14" s="1">
        <v>3.0539999999999998</v>
      </c>
      <c r="E14" s="1">
        <f>10.224</f>
        <v>10.224</v>
      </c>
      <c r="F14" s="1">
        <v>3.3479999999999999</v>
      </c>
      <c r="G14" s="1">
        <f>(37.788445/343)</f>
        <v>0.11017039358600585</v>
      </c>
      <c r="H14" s="1"/>
      <c r="I14" s="1">
        <v>177.82</v>
      </c>
    </row>
    <row r="15" spans="1:9" x14ac:dyDescent="0.35">
      <c r="A15" s="1" t="s">
        <v>36</v>
      </c>
      <c r="B15" s="1">
        <v>8</v>
      </c>
      <c r="C15" s="1" t="s">
        <v>18</v>
      </c>
      <c r="D15" s="1">
        <v>3.0590000000000002</v>
      </c>
      <c r="E15" s="1">
        <f>10.407</f>
        <v>10.407</v>
      </c>
      <c r="F15" s="1">
        <v>3.4020000000000001</v>
      </c>
      <c r="G15" s="1">
        <f>(40.493151/38)</f>
        <v>1.0656092368421053</v>
      </c>
      <c r="H15" s="1"/>
      <c r="I15" s="1">
        <v>133.31299999999999</v>
      </c>
    </row>
    <row r="16" spans="1:9" x14ac:dyDescent="0.35">
      <c r="A16" s="1" t="s">
        <v>37</v>
      </c>
      <c r="B16" s="1">
        <v>9</v>
      </c>
      <c r="C16" s="1" t="s">
        <v>18</v>
      </c>
      <c r="D16" s="1">
        <v>3.0329999999999999</v>
      </c>
      <c r="E16" s="1">
        <f>10.433</f>
        <v>10.433</v>
      </c>
      <c r="F16" s="1">
        <v>3.44</v>
      </c>
      <c r="G16" s="1">
        <f>(38/37)</f>
        <v>1.027027027027027</v>
      </c>
      <c r="H16" s="1"/>
      <c r="I16" s="1">
        <v>133.619</v>
      </c>
    </row>
    <row r="17" spans="1:9" x14ac:dyDescent="0.35">
      <c r="A17" s="1" t="s">
        <v>38</v>
      </c>
      <c r="B17" s="1">
        <v>10</v>
      </c>
      <c r="C17" s="1" t="s">
        <v>18</v>
      </c>
      <c r="D17" s="1">
        <v>3.06</v>
      </c>
      <c r="E17" s="1">
        <f>10.023</f>
        <v>10.023</v>
      </c>
      <c r="F17" s="1">
        <v>3.2749999999999999</v>
      </c>
      <c r="G17" s="1">
        <f>(37/36)</f>
        <v>1.0277777777777777</v>
      </c>
      <c r="H17" s="1"/>
      <c r="I17" s="1">
        <v>133.47800000000001</v>
      </c>
    </row>
    <row r="18" spans="1:9" x14ac:dyDescent="0.35">
      <c r="A18" s="1" t="s">
        <v>39</v>
      </c>
      <c r="B18" s="1">
        <v>2</v>
      </c>
      <c r="C18" s="1" t="s">
        <v>18</v>
      </c>
      <c r="D18" s="1">
        <v>3.5939999999999999</v>
      </c>
      <c r="E18" s="1">
        <f>9.377</f>
        <v>9.3770000000000007</v>
      </c>
      <c r="F18" s="1">
        <v>2.609</v>
      </c>
      <c r="G18" s="1">
        <f>(37.118721/34)</f>
        <v>1.0917270882352941</v>
      </c>
      <c r="H18" s="1"/>
      <c r="I18" s="1">
        <v>139.86099999999999</v>
      </c>
    </row>
    <row r="19" spans="1:9" ht="30.5" customHeight="1" x14ac:dyDescent="0.35">
      <c r="A19" s="1"/>
      <c r="B19" s="1"/>
      <c r="C19" s="3" t="s">
        <v>28</v>
      </c>
      <c r="D19" s="3">
        <f>AVERAGE(D9:D18)</f>
        <v>3.1172222222222228</v>
      </c>
      <c r="E19" s="3">
        <f t="shared" ref="E19:G19" si="0">AVERAGE(E9:E18)</f>
        <v>9.9298888888888879</v>
      </c>
      <c r="F19" s="3">
        <f t="shared" si="0"/>
        <v>3.1992222222222222</v>
      </c>
      <c r="G19" s="3">
        <f t="shared" si="0"/>
        <v>0.95627346232771571</v>
      </c>
      <c r="H19" s="3"/>
      <c r="I19" s="3">
        <f t="shared" ref="I19" si="1">AVERAGE(I9:I18)</f>
        <v>139.64244444444446</v>
      </c>
    </row>
    <row r="20" spans="1:9" ht="25" customHeight="1" x14ac:dyDescent="0.35">
      <c r="A20" s="1"/>
      <c r="B20" s="1"/>
      <c r="C20" s="4" t="s">
        <v>29</v>
      </c>
      <c r="D20" s="4">
        <f>_xlfn.STDEV.P(D9:D18)</f>
        <v>0.17718338132365558</v>
      </c>
      <c r="E20" s="4">
        <f t="shared" ref="E20:I20" si="2">_xlfn.STDEV.P(E9:E18)</f>
        <v>0.53046843961926582</v>
      </c>
      <c r="F20" s="4">
        <f t="shared" si="2"/>
        <v>0.28427481921462233</v>
      </c>
      <c r="G20" s="4">
        <f t="shared" si="2"/>
        <v>0.30030652551039366</v>
      </c>
      <c r="H20" s="4"/>
      <c r="I20" s="4">
        <f t="shared" si="2"/>
        <v>17.488922532792579</v>
      </c>
    </row>
    <row r="21" spans="1:9" x14ac:dyDescent="0.3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3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35">
      <c r="A23" s="1" t="s">
        <v>40</v>
      </c>
      <c r="B23" s="1">
        <v>11</v>
      </c>
      <c r="C23" s="1" t="s">
        <v>18</v>
      </c>
      <c r="D23" s="1">
        <v>2.7309999999999999</v>
      </c>
      <c r="E23" s="1">
        <f>8.42</f>
        <v>8.42</v>
      </c>
      <c r="F23" s="1">
        <v>3.0830000000000002</v>
      </c>
      <c r="G23" s="1">
        <f>(34.652968/32)</f>
        <v>1.08290525</v>
      </c>
      <c r="H23" s="1"/>
      <c r="I23" s="1">
        <v>74.05</v>
      </c>
    </row>
    <row r="24" spans="1:9" x14ac:dyDescent="0.35">
      <c r="A24" s="1" t="s">
        <v>41</v>
      </c>
      <c r="B24" s="1">
        <v>13</v>
      </c>
      <c r="C24" s="1" t="s">
        <v>18</v>
      </c>
      <c r="D24" s="1">
        <v>2.734</v>
      </c>
      <c r="E24" s="1">
        <f>8.076</f>
        <v>8.0760000000000005</v>
      </c>
      <c r="F24" s="1">
        <v>2.9540000000000002</v>
      </c>
      <c r="G24" s="1">
        <f>(32.051282/30)</f>
        <v>1.0683760666666666</v>
      </c>
      <c r="H24" s="1"/>
      <c r="I24" s="1">
        <v>80.162999999999997</v>
      </c>
    </row>
    <row r="25" spans="1:9" x14ac:dyDescent="0.35">
      <c r="A25" s="1" t="s">
        <v>42</v>
      </c>
      <c r="B25" s="1">
        <v>14</v>
      </c>
      <c r="C25" s="1" t="s">
        <v>18</v>
      </c>
      <c r="D25" s="1">
        <v>2.7149999999999999</v>
      </c>
      <c r="E25" s="1">
        <f>8.413</f>
        <v>8.4130000000000003</v>
      </c>
      <c r="F25" s="1">
        <v>3.0990000000000002</v>
      </c>
      <c r="G25" s="1">
        <f>(32/31)</f>
        <v>1.032258064516129</v>
      </c>
      <c r="H25" s="1"/>
      <c r="I25" s="1">
        <v>90.995999999999995</v>
      </c>
    </row>
    <row r="26" spans="1:9" x14ac:dyDescent="0.35">
      <c r="A26" s="1" t="s">
        <v>43</v>
      </c>
      <c r="B26" s="1">
        <v>15</v>
      </c>
      <c r="C26" s="1" t="s">
        <v>18</v>
      </c>
      <c r="D26" s="1">
        <v>2.7240000000000002</v>
      </c>
      <c r="E26" s="1">
        <f>8.181</f>
        <v>8.1809999999999992</v>
      </c>
      <c r="F26" s="1">
        <v>3.0030000000000001</v>
      </c>
      <c r="G26" s="1">
        <f>(31/30)</f>
        <v>1.0333333333333334</v>
      </c>
      <c r="H26" s="1"/>
      <c r="I26" s="1">
        <v>76.486000000000004</v>
      </c>
    </row>
    <row r="27" spans="1:9" x14ac:dyDescent="0.35">
      <c r="A27" s="1" t="s">
        <v>44</v>
      </c>
      <c r="B27" s="1">
        <v>16</v>
      </c>
      <c r="C27" s="1" t="s">
        <v>18</v>
      </c>
      <c r="D27" s="1">
        <v>2.7210000000000001</v>
      </c>
      <c r="E27" s="1">
        <f>8.257</f>
        <v>8.2569999999999997</v>
      </c>
      <c r="F27" s="1">
        <v>3.0350000000000001</v>
      </c>
      <c r="G27" s="1">
        <f>(31/30)</f>
        <v>1.0333333333333334</v>
      </c>
      <c r="H27" s="1"/>
      <c r="I27" s="1">
        <v>93.54401</v>
      </c>
    </row>
    <row r="28" spans="1:9" x14ac:dyDescent="0.35">
      <c r="A28" s="1" t="s">
        <v>45</v>
      </c>
      <c r="B28" s="1">
        <v>17</v>
      </c>
      <c r="C28" s="1" t="s">
        <v>18</v>
      </c>
      <c r="D28" s="1">
        <v>2.782</v>
      </c>
      <c r="E28" s="1">
        <f>8.332</f>
        <v>8.3320000000000007</v>
      </c>
      <c r="F28" s="1">
        <v>2.9950000000000001</v>
      </c>
      <c r="G28" s="1">
        <f>(33.287671/31)</f>
        <v>1.0737958387096775</v>
      </c>
      <c r="H28" s="1"/>
      <c r="I28" s="1">
        <v>79.8</v>
      </c>
    </row>
    <row r="29" spans="1:9" x14ac:dyDescent="0.35">
      <c r="A29" s="1" t="s">
        <v>46</v>
      </c>
      <c r="B29" s="1">
        <v>18</v>
      </c>
      <c r="C29" s="1" t="s">
        <v>18</v>
      </c>
      <c r="D29" s="1">
        <v>2.7650000000000001</v>
      </c>
      <c r="E29" s="1">
        <f>8.433</f>
        <v>8.4329999999999998</v>
      </c>
      <c r="F29" s="1">
        <v>3.05</v>
      </c>
      <c r="G29" s="1">
        <f>(34.553191/32)</f>
        <v>1.0797872187499999</v>
      </c>
      <c r="H29" s="1"/>
      <c r="I29" s="1">
        <v>83.977999999999994</v>
      </c>
    </row>
    <row r="30" spans="1:9" x14ac:dyDescent="0.35">
      <c r="A30" s="1" t="s">
        <v>47</v>
      </c>
      <c r="B30" s="1">
        <v>19</v>
      </c>
      <c r="C30" s="1" t="s">
        <v>18</v>
      </c>
      <c r="D30" s="1">
        <v>2.7280000000000002</v>
      </c>
      <c r="E30" s="1">
        <f>8.355</f>
        <v>8.3550000000000004</v>
      </c>
      <c r="F30" s="1">
        <v>3.0630000000000002</v>
      </c>
      <c r="G30" s="1">
        <f>(31/30)</f>
        <v>1.0333333333333334</v>
      </c>
      <c r="H30" s="1"/>
      <c r="I30" s="1">
        <v>86.620999999999995</v>
      </c>
    </row>
    <row r="31" spans="1:9" x14ac:dyDescent="0.35">
      <c r="A31" s="1" t="s">
        <v>48</v>
      </c>
      <c r="B31" s="1">
        <v>20</v>
      </c>
      <c r="C31" s="1" t="s">
        <v>18</v>
      </c>
      <c r="D31" s="1">
        <v>2.726</v>
      </c>
      <c r="E31" s="1">
        <f>8.089</f>
        <v>8.0890000000000004</v>
      </c>
      <c r="F31" s="1">
        <v>2.9670000000000001</v>
      </c>
      <c r="G31" s="1">
        <f>(30/29)</f>
        <v>1.0344827586206897</v>
      </c>
      <c r="H31" s="1"/>
      <c r="I31" s="1">
        <v>78.757999999999996</v>
      </c>
    </row>
    <row r="32" spans="1:9" x14ac:dyDescent="0.35">
      <c r="A32" s="1" t="s">
        <v>49</v>
      </c>
      <c r="B32" s="1">
        <v>12</v>
      </c>
      <c r="C32" s="1" t="s">
        <v>18</v>
      </c>
      <c r="D32" s="1">
        <v>2.7440000000000002</v>
      </c>
      <c r="E32" s="1">
        <f>8.029</f>
        <v>8.0289999999999999</v>
      </c>
      <c r="F32" s="1">
        <v>2.9260000000000002</v>
      </c>
      <c r="G32" s="1">
        <f>(30/29)</f>
        <v>1.0344827586206897</v>
      </c>
      <c r="H32" s="1"/>
      <c r="I32" s="1">
        <v>70.974010000000007</v>
      </c>
    </row>
    <row r="33" spans="1:9" ht="26.5" customHeight="1" x14ac:dyDescent="0.35">
      <c r="A33" s="1"/>
      <c r="B33" s="1"/>
      <c r="C33" s="3" t="s">
        <v>28</v>
      </c>
      <c r="D33" s="3">
        <f>AVERAGE(D23:D32)</f>
        <v>2.7370000000000001</v>
      </c>
      <c r="E33" s="3">
        <f t="shared" ref="E33:G33" si="3">AVERAGE(E23:E32)</f>
        <v>8.2584999999999997</v>
      </c>
      <c r="F33" s="3">
        <f t="shared" si="3"/>
        <v>3.0174999999999996</v>
      </c>
      <c r="G33" s="3">
        <f t="shared" si="3"/>
        <v>1.0506087955883854</v>
      </c>
      <c r="H33" s="3"/>
      <c r="I33" s="3">
        <f t="shared" ref="I33" si="4">AVERAGE(I23:I32)</f>
        <v>81.537002000000001</v>
      </c>
    </row>
    <row r="34" spans="1:9" ht="27.5" customHeight="1" x14ac:dyDescent="0.35">
      <c r="A34" s="1"/>
      <c r="B34" s="1"/>
      <c r="C34" s="4" t="s">
        <v>29</v>
      </c>
      <c r="D34" s="4">
        <f>_xlfn.STDEV.P(D23:D32)</f>
        <v>2.0034969428476823E-2</v>
      </c>
      <c r="E34" s="4">
        <f t="shared" ref="E34:I34" si="5">_xlfn.STDEV.P(E23:E32)</f>
        <v>0.14691238885812183</v>
      </c>
      <c r="F34" s="4">
        <f t="shared" si="5"/>
        <v>5.4805565410823008E-2</v>
      </c>
      <c r="G34" s="4">
        <f t="shared" si="5"/>
        <v>2.1213034888643265E-2</v>
      </c>
      <c r="H34" s="4"/>
      <c r="I34" s="4">
        <f t="shared" si="5"/>
        <v>6.8645387381830671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6A909-65B8-45EA-8C3B-128A7A0BEFF8}">
  <dimension ref="A1:I31"/>
  <sheetViews>
    <sheetView tabSelected="1" zoomScale="120" zoomScaleNormal="120" workbookViewId="0">
      <selection activeCell="C40" sqref="C40"/>
    </sheetView>
  </sheetViews>
  <sheetFormatPr defaultRowHeight="14.5" x14ac:dyDescent="0.35"/>
  <cols>
    <col min="1" max="1" width="20.453125" bestFit="1" customWidth="1"/>
    <col min="3" max="3" width="17.1796875" bestFit="1" customWidth="1"/>
    <col min="5" max="5" width="12.1796875" bestFit="1" customWidth="1"/>
    <col min="6" max="6" width="13.1796875" bestFit="1" customWidth="1"/>
    <col min="7" max="7" width="16.90625" bestFit="1" customWidth="1"/>
    <col min="9" max="9" width="9.63281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</v>
      </c>
      <c r="G1" t="s">
        <v>5</v>
      </c>
      <c r="I1" t="s">
        <v>6</v>
      </c>
    </row>
    <row r="2" spans="1:9" x14ac:dyDescent="0.35">
      <c r="E2" t="s">
        <v>7</v>
      </c>
      <c r="F2" t="s">
        <v>8</v>
      </c>
      <c r="G2" t="s">
        <v>9</v>
      </c>
      <c r="I2" t="s">
        <v>10</v>
      </c>
    </row>
    <row r="3" spans="1:9" x14ac:dyDescent="0.35">
      <c r="G3" t="s">
        <v>11</v>
      </c>
    </row>
    <row r="4" spans="1:9" x14ac:dyDescent="0.35">
      <c r="D4" t="s">
        <v>12</v>
      </c>
      <c r="E4" t="s">
        <v>13</v>
      </c>
      <c r="F4" t="s">
        <v>14</v>
      </c>
      <c r="G4" t="s">
        <v>15</v>
      </c>
      <c r="I4" t="s">
        <v>16</v>
      </c>
    </row>
    <row r="6" spans="1:9" x14ac:dyDescent="0.35">
      <c r="A6" t="s">
        <v>51</v>
      </c>
      <c r="B6">
        <v>1</v>
      </c>
      <c r="C6" t="s">
        <v>18</v>
      </c>
      <c r="D6">
        <v>2.6739999999999999</v>
      </c>
      <c r="E6">
        <f>7.962</f>
        <v>7.9619999999999997</v>
      </c>
      <c r="F6">
        <v>2.9780000000000002</v>
      </c>
      <c r="G6">
        <f>(34.356164/30)</f>
        <v>1.1452054666666667</v>
      </c>
      <c r="I6">
        <v>76.545010000000005</v>
      </c>
    </row>
    <row r="7" spans="1:9" x14ac:dyDescent="0.35">
      <c r="A7" t="s">
        <v>52</v>
      </c>
      <c r="B7">
        <v>3</v>
      </c>
      <c r="C7" t="s">
        <v>18</v>
      </c>
      <c r="D7">
        <v>2.72</v>
      </c>
      <c r="E7">
        <f>8.173</f>
        <v>8.173</v>
      </c>
      <c r="F7">
        <v>3.0049999999999999</v>
      </c>
      <c r="G7">
        <f>(35.522936/31)</f>
        <v>1.1459011612903227</v>
      </c>
      <c r="I7">
        <v>66.787000000000006</v>
      </c>
    </row>
    <row r="8" spans="1:9" x14ac:dyDescent="0.35">
      <c r="A8" t="s">
        <v>53</v>
      </c>
      <c r="B8">
        <v>4</v>
      </c>
      <c r="C8" t="s">
        <v>18</v>
      </c>
      <c r="D8">
        <v>2.7320000000000002</v>
      </c>
      <c r="E8">
        <f>8.595</f>
        <v>8.5950000000000006</v>
      </c>
      <c r="F8">
        <v>3.1459999999999999</v>
      </c>
      <c r="G8">
        <f>(38.442922/31)</f>
        <v>1.2400942580645162</v>
      </c>
      <c r="I8">
        <v>50.686999999999998</v>
      </c>
    </row>
    <row r="9" spans="1:9" x14ac:dyDescent="0.35">
      <c r="A9" t="s">
        <v>54</v>
      </c>
      <c r="B9">
        <v>5</v>
      </c>
      <c r="C9" t="s">
        <v>18</v>
      </c>
      <c r="D9">
        <v>2.7240000000000002</v>
      </c>
      <c r="E9">
        <f>7.858</f>
        <v>7.8579999999999997</v>
      </c>
      <c r="F9">
        <v>2.8849999999999998</v>
      </c>
      <c r="G9">
        <f>(32.397436/29)</f>
        <v>1.1171529655172414</v>
      </c>
      <c r="I9">
        <v>67.566999999999993</v>
      </c>
    </row>
    <row r="10" spans="1:9" x14ac:dyDescent="0.35">
      <c r="A10" t="s">
        <v>55</v>
      </c>
      <c r="B10">
        <v>6</v>
      </c>
      <c r="C10" t="s">
        <v>18</v>
      </c>
      <c r="D10">
        <v>2.7360000000000002</v>
      </c>
      <c r="E10">
        <f>8.058</f>
        <v>8.0579999999999998</v>
      </c>
      <c r="F10">
        <v>2.9449999999999998</v>
      </c>
      <c r="G10">
        <f>(33.621277/30)</f>
        <v>1.1207092333333333</v>
      </c>
      <c r="I10">
        <v>60.017000000000003</v>
      </c>
    </row>
    <row r="11" spans="1:9" x14ac:dyDescent="0.35">
      <c r="A11" t="s">
        <v>56</v>
      </c>
      <c r="B11">
        <v>7</v>
      </c>
      <c r="C11" t="s">
        <v>18</v>
      </c>
      <c r="D11">
        <v>2.798</v>
      </c>
      <c r="E11">
        <f>8.079</f>
        <v>8.0790000000000006</v>
      </c>
      <c r="F11">
        <v>2.887</v>
      </c>
      <c r="G11">
        <f>(33.260274/30)</f>
        <v>1.1086758000000001</v>
      </c>
      <c r="I11">
        <v>79.447010000000006</v>
      </c>
    </row>
    <row r="12" spans="1:9" x14ac:dyDescent="0.35">
      <c r="A12" t="s">
        <v>57</v>
      </c>
      <c r="B12">
        <v>8</v>
      </c>
      <c r="C12" t="s">
        <v>18</v>
      </c>
      <c r="D12">
        <v>2.7679999999999998</v>
      </c>
      <c r="E12">
        <f>8.101</f>
        <v>8.1010000000000009</v>
      </c>
      <c r="F12">
        <v>2.927</v>
      </c>
      <c r="G12">
        <f>(32.949772/30)</f>
        <v>1.0983257333333334</v>
      </c>
      <c r="I12">
        <v>81.180009999999996</v>
      </c>
    </row>
    <row r="13" spans="1:9" x14ac:dyDescent="0.35">
      <c r="A13" t="s">
        <v>58</v>
      </c>
      <c r="B13">
        <v>9</v>
      </c>
      <c r="C13" t="s">
        <v>18</v>
      </c>
      <c r="D13">
        <v>2.78</v>
      </c>
      <c r="E13">
        <f>8.298</f>
        <v>8.298</v>
      </c>
      <c r="F13">
        <v>2.9849999999999999</v>
      </c>
      <c r="G13">
        <f>(34.570213/31)</f>
        <v>1.1151681612903226</v>
      </c>
      <c r="I13">
        <v>61.15401</v>
      </c>
    </row>
    <row r="14" spans="1:9" x14ac:dyDescent="0.35">
      <c r="A14" t="s">
        <v>59</v>
      </c>
      <c r="B14">
        <v>10</v>
      </c>
      <c r="C14" t="s">
        <v>18</v>
      </c>
      <c r="D14">
        <v>2.7639999999999998</v>
      </c>
      <c r="E14">
        <f>5.422</f>
        <v>5.4219999999999997</v>
      </c>
      <c r="F14">
        <v>1.962</v>
      </c>
      <c r="G14">
        <f>(23.525641/20)</f>
        <v>1.17628205</v>
      </c>
      <c r="I14">
        <v>48.014000000000003</v>
      </c>
    </row>
    <row r="15" spans="1:9" x14ac:dyDescent="0.35">
      <c r="A15" t="s">
        <v>60</v>
      </c>
      <c r="B15">
        <v>2</v>
      </c>
      <c r="C15" t="s">
        <v>18</v>
      </c>
      <c r="D15">
        <v>2.6890000000000001</v>
      </c>
      <c r="E15">
        <f>7.914</f>
        <v>7.9139999999999997</v>
      </c>
      <c r="F15">
        <v>2.9430000000000001</v>
      </c>
      <c r="G15">
        <f>(33.542735/30)</f>
        <v>1.1180911666666666</v>
      </c>
      <c r="I15">
        <v>63.301000000000002</v>
      </c>
    </row>
    <row r="16" spans="1:9" ht="30.5" customHeight="1" x14ac:dyDescent="0.35">
      <c r="C16" s="3" t="s">
        <v>28</v>
      </c>
      <c r="D16" s="3">
        <f>AVERAGE(D6:D15)</f>
        <v>2.7385000000000002</v>
      </c>
      <c r="E16" s="3">
        <f t="shared" ref="E16:G16" si="0">AVERAGE(E6:E15)</f>
        <v>7.8459999999999992</v>
      </c>
      <c r="F16" s="3">
        <f t="shared" si="0"/>
        <v>2.8662999999999998</v>
      </c>
      <c r="G16" s="3">
        <f t="shared" si="0"/>
        <v>1.1385605996162402</v>
      </c>
      <c r="H16" s="3"/>
      <c r="I16" s="3">
        <f t="shared" ref="I16" si="1">AVERAGE(I6:I15)</f>
        <v>65.469904000000014</v>
      </c>
    </row>
    <row r="17" spans="1:9" ht="32.5" customHeight="1" x14ac:dyDescent="0.35">
      <c r="C17" s="4" t="s">
        <v>29</v>
      </c>
      <c r="D17" s="4">
        <f>_xlfn.STDEV.P(D6:D15)</f>
        <v>3.740922346160095E-2</v>
      </c>
      <c r="E17" s="4">
        <f t="shared" ref="E17:I17" si="2">_xlfn.STDEV.P(E6:E15)</f>
        <v>0.83249576575500062</v>
      </c>
      <c r="F17" s="4">
        <f t="shared" si="2"/>
        <v>0.30956971751125817</v>
      </c>
      <c r="G17" s="4">
        <f t="shared" si="2"/>
        <v>4.0106280512723642E-2</v>
      </c>
      <c r="H17" s="4"/>
      <c r="I17" s="4">
        <f t="shared" si="2"/>
        <v>10.711048183199557</v>
      </c>
    </row>
    <row r="20" spans="1:9" x14ac:dyDescent="0.35">
      <c r="A20" t="s">
        <v>61</v>
      </c>
      <c r="B20">
        <v>11</v>
      </c>
      <c r="C20" t="s">
        <v>18</v>
      </c>
      <c r="D20">
        <v>2.9180000000000001</v>
      </c>
      <c r="E20">
        <f>8.149</f>
        <v>8.1489999999999991</v>
      </c>
      <c r="F20">
        <v>2.7930000000000001</v>
      </c>
      <c r="G20">
        <f>(33.525114/30)</f>
        <v>1.1175038000000002</v>
      </c>
      <c r="I20">
        <v>94.857010000000002</v>
      </c>
    </row>
    <row r="21" spans="1:9" x14ac:dyDescent="0.35">
      <c r="A21" t="s">
        <v>62</v>
      </c>
      <c r="B21">
        <v>13</v>
      </c>
      <c r="C21" t="s">
        <v>18</v>
      </c>
      <c r="D21">
        <v>2.7639999999999998</v>
      </c>
      <c r="E21">
        <f>8.398</f>
        <v>8.3979999999999997</v>
      </c>
      <c r="F21">
        <v>3.0379999999999998</v>
      </c>
      <c r="G21">
        <f>(34.707763/31)</f>
        <v>1.1196052580645162</v>
      </c>
      <c r="I21">
        <v>80.587010000000006</v>
      </c>
    </row>
    <row r="22" spans="1:9" x14ac:dyDescent="0.35">
      <c r="A22" t="s">
        <v>63</v>
      </c>
      <c r="B22">
        <v>14</v>
      </c>
      <c r="C22" t="s">
        <v>18</v>
      </c>
      <c r="D22">
        <v>2.6850000000000001</v>
      </c>
      <c r="E22">
        <f>8.079</f>
        <v>8.0790000000000006</v>
      </c>
      <c r="F22">
        <v>3.0089999999999999</v>
      </c>
      <c r="G22">
        <f>(32.990868/30)</f>
        <v>1.0996956</v>
      </c>
      <c r="I22">
        <v>81.602010000000007</v>
      </c>
    </row>
    <row r="23" spans="1:9" x14ac:dyDescent="0.35">
      <c r="A23" t="s">
        <v>64</v>
      </c>
      <c r="B23">
        <v>15</v>
      </c>
      <c r="C23" t="s">
        <v>18</v>
      </c>
      <c r="D23">
        <v>2.8279999999999998</v>
      </c>
      <c r="E23">
        <f>8.401</f>
        <v>8.4009999999999998</v>
      </c>
      <c r="F23">
        <v>2.9710000000000001</v>
      </c>
      <c r="G23">
        <f>(33.931193/31)</f>
        <v>1.0945546129032258</v>
      </c>
      <c r="I23">
        <v>99.843000000000004</v>
      </c>
    </row>
    <row r="24" spans="1:9" x14ac:dyDescent="0.35">
      <c r="A24" t="s">
        <v>65</v>
      </c>
      <c r="B24">
        <v>16</v>
      </c>
      <c r="C24" t="s">
        <v>18</v>
      </c>
      <c r="D24">
        <v>2.8109999999999999</v>
      </c>
      <c r="E24">
        <f>8.348</f>
        <v>8.3480000000000008</v>
      </c>
      <c r="F24">
        <v>2.97</v>
      </c>
      <c r="G24">
        <f>(31/30)</f>
        <v>1.0333333333333334</v>
      </c>
      <c r="I24">
        <v>104.85599999999999</v>
      </c>
    </row>
    <row r="25" spans="1:9" x14ac:dyDescent="0.35">
      <c r="A25" t="s">
        <v>66</v>
      </c>
      <c r="B25">
        <v>17</v>
      </c>
      <c r="C25" t="s">
        <v>18</v>
      </c>
      <c r="D25">
        <v>2.8279999999999998</v>
      </c>
      <c r="E25">
        <f>8.33</f>
        <v>8.33</v>
      </c>
      <c r="F25">
        <v>2.9460000000000002</v>
      </c>
      <c r="G25">
        <f>(34.347032/31)</f>
        <v>1.1079687741935484</v>
      </c>
      <c r="I25">
        <v>73.631</v>
      </c>
    </row>
    <row r="26" spans="1:9" x14ac:dyDescent="0.35">
      <c r="A26" t="s">
        <v>67</v>
      </c>
      <c r="B26">
        <v>18</v>
      </c>
      <c r="C26" t="s">
        <v>18</v>
      </c>
      <c r="D26">
        <v>2.7730000000000001</v>
      </c>
      <c r="E26">
        <f>8.288</f>
        <v>8.2880000000000003</v>
      </c>
      <c r="F26">
        <v>2.9889999999999999</v>
      </c>
      <c r="G26">
        <f>(34.104545/31)</f>
        <v>1.1001466129032258</v>
      </c>
      <c r="I26">
        <v>100.983</v>
      </c>
    </row>
    <row r="27" spans="1:9" x14ac:dyDescent="0.35">
      <c r="A27" t="s">
        <v>68</v>
      </c>
      <c r="B27">
        <v>19</v>
      </c>
      <c r="C27" t="s">
        <v>18</v>
      </c>
      <c r="D27">
        <v>2.7989999999999999</v>
      </c>
      <c r="E27">
        <f>8.421</f>
        <v>8.4209999999999994</v>
      </c>
      <c r="F27">
        <v>3.0089999999999999</v>
      </c>
      <c r="G27">
        <f>(34.17094/31)</f>
        <v>1.1022883870967743</v>
      </c>
      <c r="I27">
        <v>89.870999999999995</v>
      </c>
    </row>
    <row r="28" spans="1:9" x14ac:dyDescent="0.35">
      <c r="A28" t="s">
        <v>69</v>
      </c>
      <c r="B28">
        <v>20</v>
      </c>
      <c r="C28" t="s">
        <v>18</v>
      </c>
      <c r="D28">
        <v>2.843</v>
      </c>
      <c r="E28">
        <f>8.436</f>
        <v>8.4359999999999999</v>
      </c>
      <c r="F28">
        <v>2.9670000000000001</v>
      </c>
      <c r="G28">
        <f>(32.866816/211)</f>
        <v>0.15576690047393366</v>
      </c>
      <c r="I28">
        <v>76.321010000000001</v>
      </c>
    </row>
    <row r="29" spans="1:9" x14ac:dyDescent="0.35">
      <c r="A29" t="s">
        <v>70</v>
      </c>
      <c r="B29">
        <v>12</v>
      </c>
      <c r="C29" t="s">
        <v>18</v>
      </c>
      <c r="D29">
        <v>2.76</v>
      </c>
      <c r="E29">
        <f>8.205</f>
        <v>8.2050000000000001</v>
      </c>
      <c r="F29">
        <v>2.9729999999999999</v>
      </c>
      <c r="G29">
        <f>(33.709402/31)</f>
        <v>1.087400064516129</v>
      </c>
      <c r="I29">
        <v>75.037999999999997</v>
      </c>
    </row>
    <row r="30" spans="1:9" ht="38" customHeight="1" x14ac:dyDescent="0.35">
      <c r="C30" s="3" t="s">
        <v>28</v>
      </c>
      <c r="D30" s="3">
        <f>AVERAGE(D20:D29)</f>
        <v>2.8008999999999999</v>
      </c>
      <c r="E30" s="3">
        <f t="shared" ref="E30:G30" si="3">AVERAGE(E20:E29)</f>
        <v>8.3054999999999986</v>
      </c>
      <c r="F30" s="3">
        <f t="shared" si="3"/>
        <v>2.9664999999999999</v>
      </c>
      <c r="G30" s="3">
        <f t="shared" si="3"/>
        <v>1.0018263343484688</v>
      </c>
      <c r="H30" s="3"/>
      <c r="I30" s="3">
        <f t="shared" ref="I30" si="4">AVERAGE(I20:I29)</f>
        <v>87.758904000000001</v>
      </c>
    </row>
    <row r="31" spans="1:9" ht="37" customHeight="1" x14ac:dyDescent="0.35">
      <c r="C31" s="4" t="s">
        <v>29</v>
      </c>
      <c r="D31" s="4">
        <f>_xlfn.STDEV.P(D20:D29)</f>
        <v>5.8570385008125073E-2</v>
      </c>
      <c r="E31" s="4">
        <f t="shared" ref="E31:I31" si="5">_xlfn.STDEV.P(E20:E29)</f>
        <v>0.11689931565240225</v>
      </c>
      <c r="F31" s="4">
        <f t="shared" si="5"/>
        <v>6.3109824908646264E-2</v>
      </c>
      <c r="G31" s="4">
        <f t="shared" si="5"/>
        <v>0.28294662330833054</v>
      </c>
      <c r="H31" s="4"/>
      <c r="I31" s="4">
        <f t="shared" si="5"/>
        <v>11.178750992522559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  <Company>Nottingham Trent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2023-11-27T09:49:12Z</dcterms:created>
  <dcterms:modified xsi:type="dcterms:W3CDTF">2023-12-06T11:44:28Z</dcterms:modified>
</cp:coreProperties>
</file>