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Drive\!PAPERS\!!!!TRW Green Chem Stoich\CC-BY data\Table 1 raw data pack\"/>
    </mc:Choice>
  </mc:AlternateContent>
  <xr:revisionPtr revIDLastSave="0" documentId="13_ncr:1_{CF31CA92-88A2-4832-BF98-9D0DA0665174}" xr6:coauthVersionLast="46" xr6:coauthVersionMax="47" xr10:uidLastSave="{00000000-0000-0000-0000-000000000000}"/>
  <bookViews>
    <workbookView xWindow="-110" yWindow="-110" windowWidth="22780" windowHeight="14660" activeTab="1" xr2:uid="{00000000-000D-0000-FFFF-FFFF00000000}"/>
  </bookViews>
  <sheets>
    <sheet name="Summary" sheetId="7" r:id="rId1"/>
    <sheet name="MPIP " sheetId="4" r:id="rId2"/>
    <sheet name="MPIP-B2" sheetId="9" r:id="rId3"/>
    <sheet name="MPY-ESI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9" l="1"/>
  <c r="F28" i="9" s="1"/>
  <c r="D27" i="9"/>
  <c r="F27" i="9" s="1"/>
  <c r="D26" i="9"/>
  <c r="D24" i="9"/>
  <c r="F24" i="9" s="1"/>
  <c r="D23" i="9"/>
  <c r="F23" i="9" s="1"/>
  <c r="D22" i="9"/>
  <c r="B28" i="9"/>
  <c r="B27" i="9"/>
  <c r="B26" i="9"/>
  <c r="B24" i="9"/>
  <c r="B23" i="9"/>
  <c r="B22" i="9"/>
  <c r="C22" i="9" s="1"/>
  <c r="D18" i="9"/>
  <c r="D17" i="9"/>
  <c r="D16" i="9"/>
  <c r="D14" i="9"/>
  <c r="D13" i="9"/>
  <c r="D12" i="9"/>
  <c r="B18" i="9"/>
  <c r="B17" i="9"/>
  <c r="B16" i="9"/>
  <c r="B14" i="9"/>
  <c r="B13" i="9"/>
  <c r="B12" i="9"/>
  <c r="F38" i="9"/>
  <c r="E38" i="9"/>
  <c r="C38" i="9"/>
  <c r="F37" i="9"/>
  <c r="F36" i="9"/>
  <c r="E36" i="9"/>
  <c r="C36" i="9"/>
  <c r="F34" i="9"/>
  <c r="E34" i="9"/>
  <c r="C34" i="9"/>
  <c r="F33" i="9"/>
  <c r="F32" i="9"/>
  <c r="E32" i="9"/>
  <c r="C32" i="9"/>
  <c r="C28" i="9"/>
  <c r="E28" i="9"/>
  <c r="C26" i="9"/>
  <c r="E24" i="9"/>
  <c r="G8" i="9"/>
  <c r="F8" i="9"/>
  <c r="C8" i="9"/>
  <c r="F7" i="9"/>
  <c r="F6" i="9"/>
  <c r="G6" i="9" s="1"/>
  <c r="C6" i="9"/>
  <c r="G4" i="9"/>
  <c r="F4" i="9"/>
  <c r="C4" i="9"/>
  <c r="F3" i="9"/>
  <c r="G2" i="9"/>
  <c r="F2" i="9"/>
  <c r="C2" i="9"/>
  <c r="B27" i="4"/>
  <c r="D27" i="4"/>
  <c r="D23" i="4"/>
  <c r="D24" i="4"/>
  <c r="D26" i="4"/>
  <c r="D28" i="4"/>
  <c r="G34" i="9" l="1"/>
  <c r="F18" i="9"/>
  <c r="E18" i="9"/>
  <c r="F17" i="9"/>
  <c r="F16" i="9"/>
  <c r="F14" i="9"/>
  <c r="E12" i="9"/>
  <c r="F13" i="9"/>
  <c r="C14" i="9"/>
  <c r="G32" i="9"/>
  <c r="G38" i="9"/>
  <c r="G18" i="9"/>
  <c r="G16" i="9"/>
  <c r="F12" i="9"/>
  <c r="E14" i="9"/>
  <c r="G36" i="9"/>
  <c r="C16" i="9"/>
  <c r="C24" i="9"/>
  <c r="E26" i="9"/>
  <c r="C12" i="9"/>
  <c r="C18" i="9"/>
  <c r="E22" i="9"/>
  <c r="F26" i="9"/>
  <c r="E16" i="9"/>
  <c r="F22" i="9"/>
  <c r="D16" i="4"/>
  <c r="D13" i="4"/>
  <c r="C2" i="5"/>
  <c r="F2" i="5"/>
  <c r="G4" i="5" s="1"/>
  <c r="F3" i="5"/>
  <c r="C4" i="5"/>
  <c r="F4" i="5"/>
  <c r="C6" i="5"/>
  <c r="F6" i="5"/>
  <c r="G8" i="5" s="1"/>
  <c r="F7" i="5"/>
  <c r="C8" i="5"/>
  <c r="F8" i="5"/>
  <c r="B12" i="5"/>
  <c r="F12" i="5" s="1"/>
  <c r="D12" i="5"/>
  <c r="E12" i="5"/>
  <c r="B13" i="5"/>
  <c r="F13" i="5" s="1"/>
  <c r="D13" i="5"/>
  <c r="B14" i="5"/>
  <c r="F14" i="5" s="1"/>
  <c r="D14" i="5"/>
  <c r="E14" i="5"/>
  <c r="B16" i="5"/>
  <c r="C16" i="5" s="1"/>
  <c r="D16" i="5"/>
  <c r="E16" i="5"/>
  <c r="B17" i="5"/>
  <c r="F17" i="5" s="1"/>
  <c r="D17" i="5"/>
  <c r="B18" i="5"/>
  <c r="F18" i="5" s="1"/>
  <c r="D18" i="5"/>
  <c r="E18" i="5"/>
  <c r="B22" i="5"/>
  <c r="F22" i="5" s="1"/>
  <c r="D22" i="5"/>
  <c r="E22" i="5"/>
  <c r="B23" i="5"/>
  <c r="F23" i="5" s="1"/>
  <c r="D23" i="5"/>
  <c r="B24" i="5"/>
  <c r="F24" i="5" s="1"/>
  <c r="D24" i="5"/>
  <c r="E24" i="5"/>
  <c r="B26" i="5"/>
  <c r="C26" i="5" s="1"/>
  <c r="D26" i="5"/>
  <c r="E26" i="5"/>
  <c r="B27" i="5"/>
  <c r="F27" i="5" s="1"/>
  <c r="D27" i="5"/>
  <c r="B28" i="5"/>
  <c r="F28" i="5" s="1"/>
  <c r="D28" i="5"/>
  <c r="E28" i="5"/>
  <c r="C32" i="5"/>
  <c r="E32" i="5"/>
  <c r="F32" i="5"/>
  <c r="G32" i="5"/>
  <c r="F33" i="5"/>
  <c r="G34" i="5" s="1"/>
  <c r="C34" i="5"/>
  <c r="E34" i="5"/>
  <c r="F34" i="5"/>
  <c r="C36" i="5"/>
  <c r="E36" i="5"/>
  <c r="F36" i="5"/>
  <c r="G36" i="5"/>
  <c r="F37" i="5"/>
  <c r="C38" i="5"/>
  <c r="E38" i="5"/>
  <c r="F38" i="5"/>
  <c r="G38" i="5"/>
  <c r="G28" i="9" l="1"/>
  <c r="G26" i="9"/>
  <c r="G14" i="9"/>
  <c r="G12" i="9"/>
  <c r="G22" i="9"/>
  <c r="G24" i="9"/>
  <c r="G12" i="5"/>
  <c r="G14" i="5"/>
  <c r="G22" i="5"/>
  <c r="G24" i="5"/>
  <c r="C28" i="5"/>
  <c r="F26" i="5"/>
  <c r="C22" i="5"/>
  <c r="C18" i="5"/>
  <c r="F16" i="5"/>
  <c r="C12" i="5"/>
  <c r="G6" i="5"/>
  <c r="G2" i="5"/>
  <c r="C24" i="5"/>
  <c r="C14" i="5"/>
  <c r="E28" i="4"/>
  <c r="E22" i="4"/>
  <c r="D22" i="4"/>
  <c r="B28" i="4"/>
  <c r="B26" i="4"/>
  <c r="B24" i="4"/>
  <c r="B23" i="4"/>
  <c r="B22" i="4"/>
  <c r="D18" i="4"/>
  <c r="D17" i="4"/>
  <c r="F17" i="4" s="1"/>
  <c r="E18" i="4"/>
  <c r="D14" i="4"/>
  <c r="E14" i="4"/>
  <c r="F14" i="4"/>
  <c r="D12" i="4"/>
  <c r="B18" i="4"/>
  <c r="B17" i="4"/>
  <c r="C18" i="4" s="1"/>
  <c r="B16" i="4"/>
  <c r="B14" i="4"/>
  <c r="B13" i="4"/>
  <c r="B12" i="4"/>
  <c r="F38" i="4"/>
  <c r="E38" i="4"/>
  <c r="C38" i="4"/>
  <c r="F37" i="4"/>
  <c r="F36" i="4"/>
  <c r="E36" i="4"/>
  <c r="C36" i="4"/>
  <c r="F34" i="4"/>
  <c r="E34" i="4"/>
  <c r="C34" i="4"/>
  <c r="F33" i="4"/>
  <c r="F32" i="4"/>
  <c r="E32" i="4"/>
  <c r="C32" i="4"/>
  <c r="F28" i="4"/>
  <c r="C28" i="4"/>
  <c r="F27" i="4"/>
  <c r="F26" i="4"/>
  <c r="E26" i="4"/>
  <c r="C26" i="4"/>
  <c r="C24" i="4"/>
  <c r="F23" i="4"/>
  <c r="F22" i="4"/>
  <c r="C22" i="4"/>
  <c r="E16" i="4"/>
  <c r="F13" i="4"/>
  <c r="F8" i="4"/>
  <c r="C8" i="4"/>
  <c r="F7" i="4"/>
  <c r="F6" i="4"/>
  <c r="G8" i="4" s="1"/>
  <c r="C6" i="4"/>
  <c r="F4" i="4"/>
  <c r="C4" i="4"/>
  <c r="F3" i="4"/>
  <c r="F2" i="4"/>
  <c r="C2" i="4"/>
  <c r="G18" i="5" l="1"/>
  <c r="G16" i="5"/>
  <c r="G28" i="5"/>
  <c r="G26" i="5"/>
  <c r="E24" i="4"/>
  <c r="F24" i="4"/>
  <c r="G24" i="4" s="1"/>
  <c r="G22" i="4"/>
  <c r="F16" i="4"/>
  <c r="E12" i="4"/>
  <c r="G32" i="4"/>
  <c r="C16" i="4"/>
  <c r="C12" i="4"/>
  <c r="G34" i="4"/>
  <c r="G38" i="4"/>
  <c r="G36" i="4"/>
  <c r="G26" i="4"/>
  <c r="G28" i="4"/>
  <c r="G4" i="4"/>
  <c r="G2" i="4"/>
  <c r="G6" i="4"/>
  <c r="F12" i="4"/>
  <c r="C14" i="4"/>
  <c r="F18" i="4"/>
  <c r="G16" i="4" l="1"/>
  <c r="G14" i="4"/>
  <c r="G12" i="4"/>
  <c r="G18" i="4"/>
</calcChain>
</file>

<file path=xl/sharedStrings.xml><?xml version="1.0" encoding="utf-8"?>
<sst xmlns="http://schemas.openxmlformats.org/spreadsheetml/2006/main" count="220" uniqueCount="74">
  <si>
    <t>Summary of Electrochemical and Physical data</t>
  </si>
  <si>
    <t>Base Material</t>
  </si>
  <si>
    <t xml:space="preserve">Grafted Batch </t>
  </si>
  <si>
    <t>Amination Method</t>
  </si>
  <si>
    <r>
      <t>IEC (mmol g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</si>
  <si>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Hydrated Thickness (</t>
    </r>
    <r>
      <rPr>
        <b/>
        <sz val="11"/>
        <color theme="1"/>
        <rFont val="Calibri"/>
        <family val="2"/>
      </rPr>
      <t>µm)</t>
    </r>
  </si>
  <si>
    <r>
      <t>Dehydrated Thickness (</t>
    </r>
    <r>
      <rPr>
        <b/>
        <sz val="11"/>
        <color theme="1"/>
        <rFont val="Calibri"/>
        <family val="2"/>
      </rPr>
      <t>µm)</t>
    </r>
  </si>
  <si>
    <t>Hydration Dimensional Increase (%)</t>
  </si>
  <si>
    <t xml:space="preserve">Thickness </t>
  </si>
  <si>
    <t xml:space="preserve">Area </t>
  </si>
  <si>
    <t xml:space="preserve">Mass </t>
  </si>
  <si>
    <t>ETFE 25</t>
  </si>
  <si>
    <t>TW028 (73% DoG)</t>
  </si>
  <si>
    <t>MPIP 1:1.1 mol</t>
  </si>
  <si>
    <t>1.71 (± 0.03)</t>
  </si>
  <si>
    <r>
      <t>59 (</t>
    </r>
    <r>
      <rPr>
        <sz val="11"/>
        <color theme="5"/>
        <rFont val="Calibri"/>
        <family val="2"/>
      </rPr>
      <t>± 2)</t>
    </r>
  </si>
  <si>
    <r>
      <t>51(</t>
    </r>
    <r>
      <rPr>
        <sz val="11"/>
        <color theme="5"/>
        <rFont val="Calibri"/>
        <family val="2"/>
      </rPr>
      <t>± 2)</t>
    </r>
  </si>
  <si>
    <r>
      <t>17 (</t>
    </r>
    <r>
      <rPr>
        <sz val="11"/>
        <color theme="5"/>
        <rFont val="Calibri"/>
        <family val="2"/>
      </rPr>
      <t>± 1.64)</t>
    </r>
  </si>
  <si>
    <r>
      <t>24 (</t>
    </r>
    <r>
      <rPr>
        <sz val="11"/>
        <color theme="5"/>
        <rFont val="Calibri"/>
        <family val="2"/>
      </rPr>
      <t>± 2.98)</t>
    </r>
  </si>
  <si>
    <r>
      <t>33 (</t>
    </r>
    <r>
      <rPr>
        <sz val="11"/>
        <color theme="5"/>
        <rFont val="Calibri"/>
        <family val="2"/>
      </rPr>
      <t>± 2.84)</t>
    </r>
  </si>
  <si>
    <t>MPIP 15% v/v</t>
  </si>
  <si>
    <r>
      <t>62 (</t>
    </r>
    <r>
      <rPr>
        <sz val="11"/>
        <color theme="5"/>
        <rFont val="Calibri"/>
        <family val="2"/>
      </rPr>
      <t>± 2)</t>
    </r>
  </si>
  <si>
    <r>
      <t>50 (</t>
    </r>
    <r>
      <rPr>
        <sz val="11"/>
        <color theme="5"/>
        <rFont val="Calibri"/>
        <family val="2"/>
      </rPr>
      <t>± 2)</t>
    </r>
  </si>
  <si>
    <r>
      <t>32 (</t>
    </r>
    <r>
      <rPr>
        <sz val="11"/>
        <color theme="5"/>
        <rFont val="Calibri"/>
        <family val="2"/>
      </rPr>
      <t>± 5.27)</t>
    </r>
  </si>
  <si>
    <r>
      <t>38 (</t>
    </r>
    <r>
      <rPr>
        <sz val="11"/>
        <color theme="5"/>
        <rFont val="Calibri"/>
        <family val="2"/>
      </rPr>
      <t>± 3.36)</t>
    </r>
  </si>
  <si>
    <r>
      <t>77 (</t>
    </r>
    <r>
      <rPr>
        <sz val="11"/>
        <color theme="5"/>
        <rFont val="Calibri"/>
        <family val="2"/>
      </rPr>
      <t>± 1.35)</t>
    </r>
  </si>
  <si>
    <t>TW009 (67% DoG)</t>
  </si>
  <si>
    <t>1.59 (± 0.02)</t>
  </si>
  <si>
    <r>
      <t>56 (</t>
    </r>
    <r>
      <rPr>
        <sz val="11"/>
        <color theme="4"/>
        <rFont val="Calibri"/>
        <family val="2"/>
      </rPr>
      <t>± 2)</t>
    </r>
  </si>
  <si>
    <r>
      <t>48 (</t>
    </r>
    <r>
      <rPr>
        <sz val="11"/>
        <color theme="4"/>
        <rFont val="Calibri"/>
        <family val="2"/>
      </rPr>
      <t>± 2)</t>
    </r>
  </si>
  <si>
    <r>
      <t>17 (</t>
    </r>
    <r>
      <rPr>
        <sz val="11"/>
        <color theme="4"/>
        <rFont val="Calibri"/>
        <family val="2"/>
      </rPr>
      <t>± 2.3)</t>
    </r>
  </si>
  <si>
    <r>
      <t>29 (</t>
    </r>
    <r>
      <rPr>
        <sz val="11"/>
        <color theme="4"/>
        <rFont val="Calibri"/>
        <family val="2"/>
      </rPr>
      <t>± 4.6)</t>
    </r>
  </si>
  <si>
    <r>
      <t>31 (</t>
    </r>
    <r>
      <rPr>
        <sz val="11"/>
        <color theme="4"/>
        <rFont val="Calibri"/>
        <family val="2"/>
      </rPr>
      <t>± 1.7)</t>
    </r>
  </si>
  <si>
    <t>1.70 (± 0.1)</t>
  </si>
  <si>
    <r>
      <t>64 (</t>
    </r>
    <r>
      <rPr>
        <sz val="11"/>
        <color theme="4"/>
        <rFont val="Calibri"/>
        <family val="2"/>
      </rPr>
      <t>± 2)</t>
    </r>
  </si>
  <si>
    <r>
      <t>46 (</t>
    </r>
    <r>
      <rPr>
        <sz val="11"/>
        <color theme="4"/>
        <rFont val="Calibri"/>
        <family val="2"/>
      </rPr>
      <t>± 2)</t>
    </r>
  </si>
  <si>
    <r>
      <t>40 (</t>
    </r>
    <r>
      <rPr>
        <sz val="11"/>
        <color theme="4"/>
        <rFont val="Calibri"/>
        <family val="2"/>
      </rPr>
      <t>± 2.8)</t>
    </r>
  </si>
  <si>
    <r>
      <t>52 (</t>
    </r>
    <r>
      <rPr>
        <sz val="11"/>
        <color theme="4"/>
        <rFont val="Calibri"/>
        <family val="2"/>
      </rPr>
      <t>± 3.8)</t>
    </r>
  </si>
  <si>
    <r>
      <t>95 (</t>
    </r>
    <r>
      <rPr>
        <sz val="11"/>
        <color theme="4"/>
        <rFont val="Calibri"/>
        <family val="2"/>
      </rPr>
      <t>± 1.7)</t>
    </r>
  </si>
  <si>
    <t>MPY 1:1.1 mol</t>
  </si>
  <si>
    <r>
      <t>1.83 (</t>
    </r>
    <r>
      <rPr>
        <sz val="11"/>
        <color theme="9"/>
        <rFont val="Calibri"/>
        <family val="2"/>
      </rPr>
      <t>± 0.02)</t>
    </r>
  </si>
  <si>
    <r>
      <t>61 (</t>
    </r>
    <r>
      <rPr>
        <sz val="11"/>
        <color theme="9"/>
        <rFont val="Calibri"/>
        <family val="2"/>
      </rPr>
      <t>± 2)</t>
    </r>
  </si>
  <si>
    <r>
      <t>46 (</t>
    </r>
    <r>
      <rPr>
        <sz val="11"/>
        <color theme="9"/>
        <rFont val="Calibri"/>
        <family val="2"/>
      </rPr>
      <t>± 2)</t>
    </r>
  </si>
  <si>
    <r>
      <t>33 (</t>
    </r>
    <r>
      <rPr>
        <sz val="11"/>
        <color theme="9"/>
        <rFont val="Calibri"/>
        <family val="2"/>
      </rPr>
      <t>± 3.54)</t>
    </r>
  </si>
  <si>
    <r>
      <t>31 (</t>
    </r>
    <r>
      <rPr>
        <sz val="11"/>
        <color theme="9"/>
        <rFont val="Calibri"/>
        <family val="2"/>
      </rPr>
      <t>± 1.32)</t>
    </r>
  </si>
  <si>
    <r>
      <t>47 (</t>
    </r>
    <r>
      <rPr>
        <sz val="11"/>
        <color theme="9"/>
        <rFont val="Calibri"/>
        <family val="2"/>
      </rPr>
      <t>± 6.60)</t>
    </r>
  </si>
  <si>
    <t>MPY 50% v/v</t>
  </si>
  <si>
    <r>
      <t>1.92 (</t>
    </r>
    <r>
      <rPr>
        <sz val="11"/>
        <color theme="9"/>
        <rFont val="Calibri"/>
        <family val="2"/>
      </rPr>
      <t>± 0.04)</t>
    </r>
  </si>
  <si>
    <r>
      <t>62 (</t>
    </r>
    <r>
      <rPr>
        <sz val="11"/>
        <color theme="9"/>
        <rFont val="Calibri"/>
        <family val="2"/>
      </rPr>
      <t>± 2)</t>
    </r>
  </si>
  <si>
    <r>
      <t>47 (</t>
    </r>
    <r>
      <rPr>
        <sz val="11"/>
        <color theme="9"/>
        <rFont val="Calibri"/>
        <family val="2"/>
      </rPr>
      <t>± 2)</t>
    </r>
  </si>
  <si>
    <r>
      <t>31 (</t>
    </r>
    <r>
      <rPr>
        <sz val="11"/>
        <color theme="9"/>
        <rFont val="Calibri"/>
        <family val="2"/>
      </rPr>
      <t>± 0.51)</t>
    </r>
  </si>
  <si>
    <r>
      <t>38 (</t>
    </r>
    <r>
      <rPr>
        <sz val="11"/>
        <color theme="9"/>
        <rFont val="Calibri"/>
        <family val="2"/>
      </rPr>
      <t>± 1.59)</t>
    </r>
  </si>
  <si>
    <r>
      <t>50 (</t>
    </r>
    <r>
      <rPr>
        <sz val="11"/>
        <color theme="9"/>
        <rFont val="Calibri"/>
        <family val="2"/>
      </rPr>
      <t>± 4.47)</t>
    </r>
  </si>
  <si>
    <r>
      <t>ETFE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</si>
  <si>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IEC</t>
  </si>
  <si>
    <r>
      <rPr>
        <b/>
        <sz val="11"/>
        <color rgb="FFC00000"/>
        <rFont val="Calibri"/>
        <family val="2"/>
        <scheme val="minor"/>
      </rPr>
      <t>Mean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9" tint="-0.499984740745262"/>
        <rFont val="Calibri"/>
        <family val="2"/>
        <scheme val="minor"/>
      </rPr>
      <t>SD</t>
    </r>
  </si>
  <si>
    <t>Ω</t>
  </si>
  <si>
    <t>T (cm)</t>
  </si>
  <si>
    <t>σ (mS)</t>
  </si>
  <si>
    <t>Ex 1</t>
  </si>
  <si>
    <t>Ex 2</t>
  </si>
  <si>
    <t>Ex 3</t>
  </si>
  <si>
    <t>Stoich 1</t>
  </si>
  <si>
    <t>Stoich 2</t>
  </si>
  <si>
    <t>Stoich 3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</si>
  <si>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hydrated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µm)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</si>
  <si>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dehydrated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µm)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</si>
  <si>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%Increase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</si>
  <si>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hydrated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mm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</si>
  <si>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dehydrated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mm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</si>
  <si>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%Increase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</si>
  <si>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hydrated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g)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</si>
  <si>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dehydrated</t>
    </r>
    <r>
      <rPr>
        <b/>
        <sz val="11"/>
        <color theme="1"/>
        <rFont val="Calibri"/>
        <family val="2"/>
        <scheme val="minor"/>
      </rPr>
      <t>(g</t>
    </r>
    <r>
      <rPr>
        <b/>
        <sz val="11"/>
        <color theme="1"/>
        <rFont val="Calibri"/>
        <family val="2"/>
      </rPr>
      <t>)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</si>
  <si>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%Increase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</si>
</sst>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"/>
    <numFmt numFmtId="166" formatCode="0.00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b/>
      <u/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9"/>
      <name val="Calibri"/>
      <family val="2"/>
    </font>
    <font>
      <sz val="11"/>
      <color theme="4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5"/>
      <name val="Calibri"/>
      <family val="2"/>
    </font>
    <font>
      <sz val="11"/>
      <color theme="4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0" borderId="0" xfId="0" applyFont="1"/>
    <xf numFmtId="165" fontId="13" fillId="0" borderId="0" xfId="0" applyNumberFormat="1" applyFont="1"/>
    <xf numFmtId="2" fontId="13" fillId="0" borderId="0" xfId="0" applyNumberFormat="1" applyFont="1"/>
    <xf numFmtId="2" fontId="13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center"/>
    </xf>
    <xf numFmtId="165" fontId="0" fillId="0" borderId="0" xfId="0" applyNumberFormat="1"/>
    <xf numFmtId="2" fontId="0" fillId="0" borderId="0" xfId="0" applyNumberFormat="1" applyAlignment="1">
      <alignment horizontal="right" vertical="center"/>
    </xf>
    <xf numFmtId="2" fontId="15" fillId="0" borderId="0" xfId="0" applyNumberFormat="1" applyFont="1"/>
    <xf numFmtId="165" fontId="15" fillId="0" borderId="0" xfId="0" applyNumberFormat="1" applyFont="1"/>
    <xf numFmtId="2" fontId="15" fillId="0" borderId="0" xfId="0" applyNumberFormat="1" applyFont="1" applyAlignment="1">
      <alignment horizontal="right" vertical="center"/>
    </xf>
    <xf numFmtId="2" fontId="1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0" fillId="0" borderId="1" xfId="0" applyNumberForma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0A317-685F-497C-AE38-91683BBED7BA}">
  <dimension ref="A1:N48"/>
  <sheetViews>
    <sheetView topLeftCell="A2" zoomScaleNormal="100" workbookViewId="0">
      <selection activeCell="J10" sqref="J10"/>
    </sheetView>
  </sheetViews>
  <sheetFormatPr defaultRowHeight="14.5" x14ac:dyDescent="0.35"/>
  <cols>
    <col min="1" max="3" width="18.54296875" customWidth="1"/>
    <col min="4" max="13" width="14.26953125" customWidth="1"/>
  </cols>
  <sheetData>
    <row r="1" spans="1:13" ht="24.75" customHeight="1" x14ac:dyDescent="0.35">
      <c r="A1" s="59" t="s">
        <v>0</v>
      </c>
      <c r="B1" s="59"/>
      <c r="C1" s="60"/>
      <c r="D1" s="60"/>
      <c r="E1" s="23"/>
      <c r="F1" s="23"/>
    </row>
    <row r="2" spans="1:13" ht="30" customHeight="1" x14ac:dyDescent="0.35">
      <c r="A2" s="24"/>
      <c r="B2" s="24"/>
      <c r="C2" s="23"/>
      <c r="D2" s="23"/>
      <c r="E2" s="23"/>
      <c r="F2" s="23"/>
    </row>
    <row r="3" spans="1:13" ht="13.5" customHeight="1" x14ac:dyDescent="0.35">
      <c r="A3" s="57" t="s">
        <v>1</v>
      </c>
      <c r="B3" s="57" t="s">
        <v>2</v>
      </c>
      <c r="C3" s="57" t="s">
        <v>3</v>
      </c>
      <c r="D3" s="57" t="s">
        <v>4</v>
      </c>
      <c r="E3" s="55" t="s">
        <v>5</v>
      </c>
      <c r="F3" s="55" t="s">
        <v>6</v>
      </c>
      <c r="G3" s="57" t="s">
        <v>7</v>
      </c>
      <c r="H3" s="57"/>
      <c r="I3" s="57"/>
      <c r="J3" s="57"/>
      <c r="K3" s="57"/>
      <c r="L3" s="58"/>
    </row>
    <row r="4" spans="1:13" ht="21" customHeight="1" x14ac:dyDescent="0.35">
      <c r="A4" s="61"/>
      <c r="B4" s="61"/>
      <c r="C4" s="61"/>
      <c r="D4" s="61"/>
      <c r="E4" s="56"/>
      <c r="F4" s="56"/>
      <c r="G4" s="25" t="s">
        <v>8</v>
      </c>
      <c r="H4" s="25" t="s">
        <v>9</v>
      </c>
      <c r="I4" s="25" t="s">
        <v>10</v>
      </c>
      <c r="J4" s="57"/>
      <c r="K4" s="57"/>
      <c r="L4" s="58"/>
    </row>
    <row r="5" spans="1:13" ht="21.75" customHeight="1" x14ac:dyDescent="0.35">
      <c r="A5" s="50" t="s">
        <v>11</v>
      </c>
      <c r="B5" s="50" t="s">
        <v>12</v>
      </c>
      <c r="C5" s="50" t="s">
        <v>13</v>
      </c>
      <c r="D5" s="50" t="s">
        <v>14</v>
      </c>
      <c r="E5" s="50" t="s">
        <v>15</v>
      </c>
      <c r="F5" s="50" t="s">
        <v>16</v>
      </c>
      <c r="G5" s="50" t="s">
        <v>17</v>
      </c>
      <c r="H5" s="50" t="s">
        <v>18</v>
      </c>
      <c r="I5" s="50" t="s">
        <v>19</v>
      </c>
      <c r="J5" s="35"/>
      <c r="K5" s="35"/>
      <c r="L5" s="47"/>
    </row>
    <row r="6" spans="1:13" ht="21.75" customHeight="1" x14ac:dyDescent="0.35">
      <c r="A6" s="50" t="s">
        <v>11</v>
      </c>
      <c r="B6" s="50" t="s">
        <v>12</v>
      </c>
      <c r="C6" s="50" t="s">
        <v>20</v>
      </c>
      <c r="D6" s="51">
        <v>1.8</v>
      </c>
      <c r="E6" s="50" t="s">
        <v>21</v>
      </c>
      <c r="F6" s="50" t="s">
        <v>22</v>
      </c>
      <c r="G6" s="50" t="s">
        <v>23</v>
      </c>
      <c r="H6" s="50" t="s">
        <v>24</v>
      </c>
      <c r="I6" s="50" t="s">
        <v>25</v>
      </c>
      <c r="J6" s="35"/>
      <c r="K6" s="35"/>
      <c r="L6" s="47"/>
    </row>
    <row r="7" spans="1:13" ht="21.75" customHeight="1" x14ac:dyDescent="0.35">
      <c r="A7" s="50"/>
      <c r="B7" s="50"/>
      <c r="C7" s="50"/>
      <c r="D7" s="51"/>
      <c r="E7" s="50"/>
      <c r="F7" s="50"/>
      <c r="G7" s="50"/>
      <c r="H7" s="50"/>
      <c r="I7" s="50"/>
      <c r="J7" s="35"/>
      <c r="K7" s="35"/>
      <c r="L7" s="47"/>
    </row>
    <row r="8" spans="1:13" ht="21.75" customHeight="1" x14ac:dyDescent="0.35">
      <c r="A8" s="30" t="s">
        <v>11</v>
      </c>
      <c r="B8" s="30" t="s">
        <v>26</v>
      </c>
      <c r="C8" s="30" t="s">
        <v>13</v>
      </c>
      <c r="D8" s="30" t="s">
        <v>27</v>
      </c>
      <c r="E8" s="30" t="s">
        <v>28</v>
      </c>
      <c r="F8" s="30" t="s">
        <v>29</v>
      </c>
      <c r="G8" s="30" t="s">
        <v>30</v>
      </c>
      <c r="H8" s="30" t="s">
        <v>31</v>
      </c>
      <c r="I8" s="30" t="s">
        <v>32</v>
      </c>
      <c r="J8" s="35"/>
      <c r="K8" s="35"/>
      <c r="L8" s="47"/>
    </row>
    <row r="9" spans="1:13" ht="21.75" customHeight="1" x14ac:dyDescent="0.35">
      <c r="A9" s="30" t="s">
        <v>11</v>
      </c>
      <c r="B9" s="30" t="s">
        <v>26</v>
      </c>
      <c r="C9" s="30" t="s">
        <v>20</v>
      </c>
      <c r="D9" s="30" t="s">
        <v>33</v>
      </c>
      <c r="E9" s="30" t="s">
        <v>34</v>
      </c>
      <c r="F9" s="30" t="s">
        <v>35</v>
      </c>
      <c r="G9" s="30" t="s">
        <v>36</v>
      </c>
      <c r="H9" s="30" t="s">
        <v>37</v>
      </c>
      <c r="I9" s="30" t="s">
        <v>38</v>
      </c>
      <c r="J9" s="35"/>
      <c r="K9" s="35"/>
      <c r="L9" s="47"/>
    </row>
    <row r="10" spans="1:13" ht="21.75" customHeight="1" x14ac:dyDescent="0.35">
      <c r="A10" s="35"/>
      <c r="B10" s="35"/>
      <c r="C10" s="35"/>
      <c r="D10" s="35"/>
      <c r="E10" s="34"/>
      <c r="F10" s="34"/>
      <c r="G10" s="35"/>
      <c r="H10" s="35"/>
      <c r="I10" s="35"/>
      <c r="J10" s="35"/>
      <c r="K10" s="35"/>
      <c r="L10" s="47"/>
    </row>
    <row r="11" spans="1:13" ht="21.75" customHeight="1" x14ac:dyDescent="0.35">
      <c r="A11" s="26" t="s">
        <v>11</v>
      </c>
      <c r="B11" s="26" t="s">
        <v>12</v>
      </c>
      <c r="C11" s="26" t="s">
        <v>39</v>
      </c>
      <c r="D11" s="26" t="s">
        <v>40</v>
      </c>
      <c r="E11" s="26" t="s">
        <v>41</v>
      </c>
      <c r="F11" s="26" t="s">
        <v>42</v>
      </c>
      <c r="G11" s="26" t="s">
        <v>43</v>
      </c>
      <c r="H11" s="26" t="s">
        <v>44</v>
      </c>
      <c r="I11" s="26" t="s">
        <v>45</v>
      </c>
      <c r="J11" s="27"/>
      <c r="K11" s="28"/>
      <c r="L11" s="27"/>
      <c r="M11" s="27"/>
    </row>
    <row r="12" spans="1:13" ht="21.75" customHeight="1" x14ac:dyDescent="0.35">
      <c r="A12" s="26" t="s">
        <v>11</v>
      </c>
      <c r="B12" s="26" t="s">
        <v>12</v>
      </c>
      <c r="C12" s="26" t="s">
        <v>46</v>
      </c>
      <c r="D12" s="26" t="s">
        <v>47</v>
      </c>
      <c r="E12" s="26" t="s">
        <v>48</v>
      </c>
      <c r="F12" s="26" t="s">
        <v>49</v>
      </c>
      <c r="G12" s="26" t="s">
        <v>50</v>
      </c>
      <c r="H12" s="26" t="s">
        <v>51</v>
      </c>
      <c r="I12" s="26" t="s">
        <v>52</v>
      </c>
      <c r="J12" s="27"/>
      <c r="K12" s="28"/>
      <c r="L12" s="27"/>
    </row>
    <row r="13" spans="1:13" x14ac:dyDescent="0.35">
      <c r="A13" s="26"/>
      <c r="B13" s="26"/>
      <c r="C13" s="26"/>
      <c r="D13" s="26"/>
      <c r="E13" s="26"/>
      <c r="F13" s="26"/>
      <c r="G13" s="26"/>
      <c r="H13" s="26"/>
      <c r="I13" s="26"/>
      <c r="J13" s="27"/>
      <c r="K13" s="28"/>
      <c r="L13" s="27"/>
      <c r="M13" s="28"/>
    </row>
    <row r="14" spans="1:13" ht="15" customHeight="1" x14ac:dyDescent="0.35">
      <c r="A14" s="29"/>
      <c r="B14" s="29"/>
      <c r="C14" s="29"/>
      <c r="D14" s="29"/>
      <c r="E14" s="29"/>
      <c r="F14" s="29"/>
      <c r="G14" s="29"/>
      <c r="H14" s="29"/>
      <c r="I14" s="29"/>
      <c r="K14" s="28"/>
      <c r="L14" s="27"/>
      <c r="M14" s="28"/>
    </row>
    <row r="15" spans="1:13" ht="15" customHeight="1" x14ac:dyDescent="0.35">
      <c r="A15" s="30"/>
      <c r="B15" s="30"/>
      <c r="C15" s="30"/>
      <c r="D15" s="30"/>
      <c r="E15" s="30"/>
      <c r="F15" s="30"/>
      <c r="G15" s="30"/>
      <c r="H15" s="30"/>
      <c r="I15" s="30"/>
      <c r="K15" s="28"/>
    </row>
    <row r="16" spans="1:13" ht="15" customHeight="1" x14ac:dyDescent="0.35">
      <c r="A16" s="30"/>
      <c r="B16" s="30"/>
      <c r="C16" s="30"/>
      <c r="D16" s="30"/>
      <c r="E16" s="30"/>
      <c r="F16" s="30"/>
      <c r="G16" s="30"/>
      <c r="H16" s="30"/>
      <c r="I16" s="30"/>
      <c r="K16" s="28"/>
    </row>
    <row r="17" spans="1:14" ht="15" customHeight="1" x14ac:dyDescent="0.35">
      <c r="A17" s="30"/>
      <c r="B17" s="30"/>
      <c r="C17" s="30"/>
      <c r="D17" s="30"/>
      <c r="E17" s="30"/>
      <c r="F17" s="30"/>
      <c r="G17" s="30"/>
      <c r="H17" s="30"/>
      <c r="I17" s="30"/>
      <c r="K17" s="28"/>
      <c r="L17" s="27"/>
      <c r="M17" s="27"/>
    </row>
    <row r="18" spans="1:14" ht="15" customHeight="1" x14ac:dyDescent="0.35">
      <c r="D18" s="29"/>
      <c r="E18" s="29"/>
      <c r="F18" s="29"/>
      <c r="K18" s="28"/>
      <c r="L18" s="27"/>
    </row>
    <row r="19" spans="1:14" ht="15" customHeight="1" x14ac:dyDescent="0.35">
      <c r="A19" s="29"/>
      <c r="B19" s="29"/>
      <c r="C19" s="29"/>
      <c r="D19" s="29"/>
      <c r="E19" s="29"/>
      <c r="F19" s="29"/>
      <c r="K19" s="28"/>
      <c r="L19" s="27"/>
      <c r="M19" s="28"/>
    </row>
    <row r="20" spans="1:14" ht="15" customHeight="1" x14ac:dyDescent="0.35">
      <c r="A20" s="48"/>
      <c r="B20" s="48"/>
      <c r="C20" s="49"/>
      <c r="D20" s="49"/>
      <c r="E20" s="31"/>
      <c r="F20" s="31"/>
      <c r="G20" s="32"/>
      <c r="H20" s="32"/>
      <c r="I20" s="32"/>
      <c r="J20" s="32"/>
      <c r="K20" s="32"/>
      <c r="L20" s="32"/>
      <c r="M20" s="32"/>
    </row>
    <row r="21" spans="1:14" ht="15" customHeight="1" x14ac:dyDescent="0.35">
      <c r="A21" s="33"/>
      <c r="B21" s="33"/>
      <c r="C21" s="31"/>
      <c r="D21" s="31"/>
      <c r="E21" s="31"/>
      <c r="F21" s="31"/>
      <c r="G21" s="32"/>
      <c r="H21" s="32"/>
      <c r="I21" s="32"/>
      <c r="J21" s="32"/>
      <c r="K21" s="32"/>
      <c r="L21" s="32"/>
      <c r="M21" s="32"/>
    </row>
    <row r="22" spans="1:14" ht="15" customHeight="1" x14ac:dyDescent="0.35">
      <c r="A22" s="34"/>
      <c r="B22" s="34"/>
      <c r="C22" s="34"/>
      <c r="D22" s="35"/>
      <c r="E22" s="35"/>
      <c r="F22" s="35"/>
      <c r="G22" s="34"/>
      <c r="H22" s="34"/>
      <c r="I22" s="34"/>
      <c r="J22" s="34"/>
      <c r="K22" s="34"/>
      <c r="L22" s="34"/>
      <c r="M22" s="34"/>
      <c r="N22" s="27"/>
    </row>
    <row r="23" spans="1:14" ht="15" customHeight="1" x14ac:dyDescent="0.35">
      <c r="A23" s="26"/>
      <c r="B23" s="26"/>
      <c r="C23" s="26"/>
      <c r="D23" s="36"/>
      <c r="E23" s="36"/>
      <c r="F23" s="36"/>
      <c r="G23" s="37"/>
      <c r="H23" s="38"/>
      <c r="I23" s="38"/>
      <c r="J23" s="39"/>
      <c r="K23" s="40"/>
      <c r="L23" s="40"/>
      <c r="M23" s="40"/>
    </row>
    <row r="24" spans="1:14" ht="15" customHeight="1" x14ac:dyDescent="0.35">
      <c r="A24" s="26"/>
      <c r="B24" s="26"/>
      <c r="C24" s="26"/>
      <c r="D24" s="36"/>
      <c r="E24" s="36"/>
      <c r="F24" s="36"/>
      <c r="G24" s="37"/>
      <c r="H24" s="38"/>
      <c r="I24" s="38"/>
      <c r="J24" s="39"/>
      <c r="K24" s="40"/>
      <c r="L24" s="40"/>
      <c r="M24" s="40"/>
    </row>
    <row r="25" spans="1:14" ht="15" customHeight="1" x14ac:dyDescent="0.35">
      <c r="A25" s="26"/>
      <c r="B25" s="26"/>
      <c r="C25" s="26"/>
      <c r="D25" s="36"/>
      <c r="E25" s="36"/>
      <c r="F25" s="36"/>
      <c r="G25" s="37"/>
      <c r="H25" s="38"/>
      <c r="I25" s="38"/>
      <c r="J25" s="39"/>
      <c r="K25" s="40"/>
      <c r="L25" s="40"/>
      <c r="M25" s="40"/>
    </row>
    <row r="26" spans="1:14" ht="15" customHeight="1" x14ac:dyDescent="0.35">
      <c r="A26" s="29"/>
      <c r="B26" s="29"/>
      <c r="C26" s="29"/>
      <c r="D26" s="28"/>
      <c r="E26" s="28"/>
      <c r="F26" s="28"/>
      <c r="G26" s="41"/>
      <c r="H26" s="28"/>
      <c r="I26" s="28"/>
      <c r="J26" s="42"/>
      <c r="K26" s="28"/>
      <c r="L26" s="28"/>
      <c r="M26" s="28"/>
    </row>
    <row r="27" spans="1:14" x14ac:dyDescent="0.35">
      <c r="A27" s="30"/>
      <c r="B27" s="30"/>
      <c r="C27" s="30"/>
      <c r="D27" s="43"/>
      <c r="E27" s="43"/>
      <c r="F27" s="43"/>
      <c r="G27" s="44"/>
      <c r="H27" s="43"/>
      <c r="I27" s="43"/>
      <c r="J27" s="45"/>
      <c r="K27" s="46"/>
      <c r="L27" s="46"/>
      <c r="M27" s="46"/>
    </row>
    <row r="28" spans="1:14" x14ac:dyDescent="0.35">
      <c r="A28" s="30"/>
      <c r="B28" s="30"/>
      <c r="C28" s="30"/>
      <c r="D28" s="43"/>
      <c r="E28" s="43"/>
      <c r="F28" s="43"/>
      <c r="G28" s="44"/>
      <c r="H28" s="43"/>
      <c r="I28" s="43"/>
      <c r="J28" s="45"/>
      <c r="K28" s="46"/>
      <c r="L28" s="46"/>
      <c r="M28" s="46"/>
    </row>
    <row r="29" spans="1:14" x14ac:dyDescent="0.35">
      <c r="A29" s="30"/>
      <c r="B29" s="30"/>
      <c r="C29" s="30"/>
      <c r="D29" s="43"/>
      <c r="E29" s="43"/>
      <c r="F29" s="43"/>
      <c r="G29" s="44"/>
      <c r="H29" s="43"/>
      <c r="I29" s="43"/>
      <c r="J29" s="45"/>
      <c r="K29" s="46"/>
      <c r="L29" s="46"/>
      <c r="M29" s="46"/>
    </row>
    <row r="30" spans="1:14" x14ac:dyDescent="0.35">
      <c r="D30" s="28"/>
      <c r="E30" s="28"/>
      <c r="F30" s="28"/>
    </row>
    <row r="31" spans="1:14" x14ac:dyDescent="0.35">
      <c r="D31" s="28"/>
      <c r="E31" s="28"/>
      <c r="F31" s="28"/>
    </row>
    <row r="32" spans="1:14" x14ac:dyDescent="0.35">
      <c r="D32" s="28"/>
      <c r="E32" s="28"/>
      <c r="F32" s="28"/>
    </row>
    <row r="33" spans="4:13" x14ac:dyDescent="0.35">
      <c r="D33" s="28"/>
      <c r="E33" s="28"/>
      <c r="F33" s="28"/>
    </row>
    <row r="34" spans="4:13" x14ac:dyDescent="0.35">
      <c r="D34" s="28"/>
      <c r="E34" s="28"/>
      <c r="F34" s="28"/>
    </row>
    <row r="35" spans="4:13" x14ac:dyDescent="0.35">
      <c r="L35" s="27"/>
      <c r="M35" s="28"/>
    </row>
    <row r="38" spans="4:13" x14ac:dyDescent="0.35">
      <c r="L38" s="27"/>
      <c r="M38" s="27"/>
    </row>
    <row r="39" spans="4:13" x14ac:dyDescent="0.35">
      <c r="L39" s="27"/>
    </row>
    <row r="40" spans="4:13" x14ac:dyDescent="0.35">
      <c r="L40" s="27"/>
      <c r="M40" s="28"/>
    </row>
    <row r="41" spans="4:13" x14ac:dyDescent="0.35">
      <c r="L41" s="27"/>
    </row>
    <row r="42" spans="4:13" x14ac:dyDescent="0.35">
      <c r="L42" s="27"/>
      <c r="M42" s="27"/>
    </row>
    <row r="43" spans="4:13" x14ac:dyDescent="0.35">
      <c r="L43" s="27"/>
    </row>
    <row r="44" spans="4:13" x14ac:dyDescent="0.35">
      <c r="L44" s="27"/>
      <c r="M44" s="28"/>
    </row>
    <row r="45" spans="4:13" x14ac:dyDescent="0.35">
      <c r="L45" s="27"/>
    </row>
    <row r="46" spans="4:13" x14ac:dyDescent="0.35">
      <c r="L46" s="27"/>
      <c r="M46" s="27"/>
    </row>
    <row r="47" spans="4:13" x14ac:dyDescent="0.35">
      <c r="L47" s="27"/>
    </row>
    <row r="48" spans="4:13" x14ac:dyDescent="0.35">
      <c r="L48" s="27"/>
      <c r="M48" s="28"/>
    </row>
  </sheetData>
  <mergeCells count="11">
    <mergeCell ref="A1:D1"/>
    <mergeCell ref="A3:A4"/>
    <mergeCell ref="C3:C4"/>
    <mergeCell ref="D3:D4"/>
    <mergeCell ref="E3:E4"/>
    <mergeCell ref="B3:B4"/>
    <mergeCell ref="F3:F4"/>
    <mergeCell ref="G3:I3"/>
    <mergeCell ref="J3:J4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17D00-9108-4E3C-B0A3-C3005033DCD8}">
  <sheetPr>
    <tabColor theme="5"/>
  </sheetPr>
  <dimension ref="A1:H41"/>
  <sheetViews>
    <sheetView tabSelected="1" workbookViewId="0">
      <selection activeCell="K5" sqref="K5"/>
    </sheetView>
  </sheetViews>
  <sheetFormatPr defaultRowHeight="14.5" x14ac:dyDescent="0.35"/>
  <cols>
    <col min="1" max="7" width="11.1796875" style="1" customWidth="1"/>
    <col min="8" max="9" width="11.1796875" customWidth="1"/>
  </cols>
  <sheetData>
    <row r="1" spans="1:8" ht="30" customHeight="1" x14ac:dyDescent="0.35">
      <c r="A1" s="17" t="s">
        <v>53</v>
      </c>
      <c r="B1" s="18" t="s">
        <v>54</v>
      </c>
      <c r="C1" s="17" t="s">
        <v>55</v>
      </c>
      <c r="D1" s="19" t="s">
        <v>56</v>
      </c>
      <c r="E1" s="20" t="s">
        <v>57</v>
      </c>
      <c r="F1" s="21" t="s">
        <v>58</v>
      </c>
      <c r="G1" s="17" t="s">
        <v>55</v>
      </c>
    </row>
    <row r="2" spans="1:8" x14ac:dyDescent="0.35">
      <c r="A2" s="5" t="s">
        <v>59</v>
      </c>
      <c r="B2" s="3">
        <v>1.8</v>
      </c>
      <c r="C2" s="52">
        <f>AVERAGE(B2:B4)</f>
        <v>1.7966666666666666</v>
      </c>
      <c r="E2" s="16"/>
      <c r="F2" s="15" t="e">
        <f>0.425/(D2*E2)*1000</f>
        <v>#DIV/0!</v>
      </c>
      <c r="G2" s="6" t="e">
        <f>AVERAGE(F2:F4)</f>
        <v>#DIV/0!</v>
      </c>
    </row>
    <row r="3" spans="1:8" x14ac:dyDescent="0.35">
      <c r="A3" s="5" t="s">
        <v>60</v>
      </c>
      <c r="B3" s="3">
        <v>1.79</v>
      </c>
      <c r="C3" s="53"/>
      <c r="E3" s="16"/>
      <c r="F3" s="15" t="e">
        <f t="shared" ref="F3:F8" si="0">0.425/(D3*E3)*1000</f>
        <v>#DIV/0!</v>
      </c>
      <c r="G3" s="7"/>
    </row>
    <row r="4" spans="1:8" x14ac:dyDescent="0.35">
      <c r="A4" s="5" t="s">
        <v>61</v>
      </c>
      <c r="B4" s="3">
        <v>1.8</v>
      </c>
      <c r="C4" s="54">
        <f>_xlfn.STDEV.P(B2:B4)</f>
        <v>4.7140452079103209E-3</v>
      </c>
      <c r="E4" s="16"/>
      <c r="F4" s="15" t="e">
        <f t="shared" si="0"/>
        <v>#DIV/0!</v>
      </c>
      <c r="G4" s="8" t="e">
        <f>_xlfn.STDEV.P(F2:F4)</f>
        <v>#DIV/0!</v>
      </c>
    </row>
    <row r="5" spans="1:8" x14ac:dyDescent="0.35">
      <c r="A5" s="22"/>
      <c r="B5" s="3"/>
      <c r="C5" s="7"/>
      <c r="E5" s="16"/>
      <c r="F5" s="15"/>
      <c r="G5" s="7"/>
    </row>
    <row r="6" spans="1:8" x14ac:dyDescent="0.35">
      <c r="A6" s="5" t="s">
        <v>62</v>
      </c>
      <c r="B6" s="3">
        <v>1.75</v>
      </c>
      <c r="C6" s="6">
        <f>AVERAGE(B6:B8)</f>
        <v>1.7066666666666668</v>
      </c>
      <c r="E6" s="16"/>
      <c r="F6" s="15" t="e">
        <f t="shared" si="0"/>
        <v>#DIV/0!</v>
      </c>
      <c r="G6" s="6" t="e">
        <f>AVERAGE(F6:F8)</f>
        <v>#DIV/0!</v>
      </c>
    </row>
    <row r="7" spans="1:8" x14ac:dyDescent="0.35">
      <c r="A7" s="5" t="s">
        <v>63</v>
      </c>
      <c r="B7" s="3">
        <v>1.67</v>
      </c>
      <c r="C7" s="7"/>
      <c r="E7" s="16"/>
      <c r="F7" s="15" t="e">
        <f t="shared" si="0"/>
        <v>#DIV/0!</v>
      </c>
      <c r="G7" s="7"/>
    </row>
    <row r="8" spans="1:8" x14ac:dyDescent="0.35">
      <c r="A8" s="5" t="s">
        <v>64</v>
      </c>
      <c r="B8" s="3">
        <v>1.7</v>
      </c>
      <c r="C8" s="8">
        <f>_xlfn.STDEV.P(B6:B8)</f>
        <v>3.2998316455372247E-2</v>
      </c>
      <c r="E8" s="16"/>
      <c r="F8" s="15" t="e">
        <f t="shared" si="0"/>
        <v>#DIV/0!</v>
      </c>
      <c r="G8" s="8" t="e">
        <f>_xlfn.STDEV.P(F6:F8)</f>
        <v>#DIV/0!</v>
      </c>
    </row>
    <row r="9" spans="1:8" x14ac:dyDescent="0.35">
      <c r="A9" s="5"/>
      <c r="B9" s="3"/>
      <c r="C9" s="7"/>
      <c r="E9" s="16"/>
      <c r="F9" s="15"/>
      <c r="G9" s="7"/>
    </row>
    <row r="10" spans="1:8" x14ac:dyDescent="0.35">
      <c r="A10" s="2"/>
      <c r="B10" s="2"/>
      <c r="C10" s="2"/>
      <c r="D10" s="2"/>
      <c r="E10" s="2"/>
      <c r="G10" s="2"/>
      <c r="H10" s="2"/>
    </row>
    <row r="11" spans="1:8" ht="30" customHeight="1" x14ac:dyDescent="0.35">
      <c r="A11" s="17" t="s">
        <v>53</v>
      </c>
      <c r="B11" s="18" t="s">
        <v>65</v>
      </c>
      <c r="C11" s="17" t="s">
        <v>55</v>
      </c>
      <c r="D11" s="18" t="s">
        <v>66</v>
      </c>
      <c r="E11" s="17" t="s">
        <v>55</v>
      </c>
      <c r="F11" s="18" t="s">
        <v>67</v>
      </c>
      <c r="G11" s="17" t="s">
        <v>55</v>
      </c>
    </row>
    <row r="12" spans="1:8" x14ac:dyDescent="0.35">
      <c r="A12" s="5" t="s">
        <v>59</v>
      </c>
      <c r="B12" s="4">
        <f>AVERAGE(61,62,63)</f>
        <v>62</v>
      </c>
      <c r="C12" s="9">
        <f>AVERAGE(B12:B14)</f>
        <v>62.222222222222229</v>
      </c>
      <c r="D12" s="4">
        <f>AVERAGE(48,51,50)</f>
        <v>49.666666666666664</v>
      </c>
      <c r="E12" s="9">
        <f>AVERAGE(D12:D14)</f>
        <v>47.111111111111114</v>
      </c>
      <c r="F12" s="4">
        <f>((B12-D12)/D12*100)</f>
        <v>24.832214765100677</v>
      </c>
      <c r="G12" s="9">
        <f>AVERAGE(F12:F14)</f>
        <v>32.279311095585633</v>
      </c>
    </row>
    <row r="13" spans="1:8" x14ac:dyDescent="0.35">
      <c r="A13" s="5" t="s">
        <v>60</v>
      </c>
      <c r="B13" s="4">
        <f>AVERAGE(59,62,60)</f>
        <v>60.333333333333336</v>
      </c>
      <c r="C13" s="5"/>
      <c r="D13" s="4">
        <f>AVERAGE(45,43,45)</f>
        <v>44.333333333333336</v>
      </c>
      <c r="E13" s="5"/>
      <c r="F13" s="4">
        <f t="shared" ref="F13:F18" si="1">((B13-D13)/D13*100)</f>
        <v>36.090225563909769</v>
      </c>
      <c r="G13" s="5"/>
    </row>
    <row r="14" spans="1:8" x14ac:dyDescent="0.35">
      <c r="A14" s="5" t="s">
        <v>61</v>
      </c>
      <c r="B14" s="4">
        <f>AVERAGE(65,64,64)</f>
        <v>64.333333333333329</v>
      </c>
      <c r="C14" s="8">
        <f>_xlfn.STDEV.P(B12:B14)</f>
        <v>1.6405358955814859</v>
      </c>
      <c r="D14" s="4">
        <f>AVERAGE(47,47,48)</f>
        <v>47.333333333333336</v>
      </c>
      <c r="E14" s="8">
        <f>_xlfn.STDEV.P(D12:D14)</f>
        <v>2.1829869671542759</v>
      </c>
      <c r="F14" s="4">
        <f t="shared" si="1"/>
        <v>35.915492957746466</v>
      </c>
      <c r="G14" s="8">
        <f>_xlfn.STDEV.P(F12:F14)</f>
        <v>5.2663754574062418</v>
      </c>
    </row>
    <row r="15" spans="1:8" x14ac:dyDescent="0.35">
      <c r="A15" s="22"/>
      <c r="B15" s="4"/>
      <c r="C15" s="5"/>
      <c r="D15" s="4"/>
      <c r="E15" s="5"/>
      <c r="F15" s="4"/>
      <c r="G15" s="5"/>
    </row>
    <row r="16" spans="1:8" x14ac:dyDescent="0.35">
      <c r="A16" s="5" t="s">
        <v>62</v>
      </c>
      <c r="B16" s="4">
        <f>AVERAGE(57,56,61)</f>
        <v>58</v>
      </c>
      <c r="C16" s="9">
        <f>AVERAGE(B16:B18)</f>
        <v>59.222222222222221</v>
      </c>
      <c r="D16" s="4">
        <f>AVERAGE(49,51,51)</f>
        <v>50.333333333333336</v>
      </c>
      <c r="E16" s="9">
        <f>AVERAGE(D16:D18)</f>
        <v>50.44444444444445</v>
      </c>
      <c r="F16" s="4">
        <f t="shared" si="1"/>
        <v>15.231788079470194</v>
      </c>
      <c r="G16" s="9">
        <f>AVERAGE(F16:F18)</f>
        <v>17.400081329150687</v>
      </c>
    </row>
    <row r="17" spans="1:7" x14ac:dyDescent="0.35">
      <c r="A17" s="5" t="s">
        <v>63</v>
      </c>
      <c r="B17" s="4">
        <f>AVERAGE(61,62,56)</f>
        <v>59.666666666666664</v>
      </c>
      <c r="C17" s="5"/>
      <c r="D17" s="4">
        <f>AVERAGE(50,51,51)</f>
        <v>50.666666666666664</v>
      </c>
      <c r="E17" s="5"/>
      <c r="F17" s="4">
        <f t="shared" si="1"/>
        <v>17.763157894736842</v>
      </c>
      <c r="G17" s="5"/>
    </row>
    <row r="18" spans="1:7" x14ac:dyDescent="0.35">
      <c r="A18" s="5" t="s">
        <v>64</v>
      </c>
      <c r="B18" s="4">
        <f>AVERAGE(57,60,63)</f>
        <v>60</v>
      </c>
      <c r="C18" s="8">
        <f>_xlfn.STDEV.P(B16:B18)</f>
        <v>0.87488976377908967</v>
      </c>
      <c r="D18" s="4">
        <f>AVERAGE(50,50,51)</f>
        <v>50.333333333333336</v>
      </c>
      <c r="E18" s="8">
        <f>_xlfn.STDEV.P(D16:D18)</f>
        <v>0.157134840263675</v>
      </c>
      <c r="F18" s="4">
        <f t="shared" si="1"/>
        <v>19.205298013245027</v>
      </c>
      <c r="G18" s="8">
        <f>_xlfn.STDEV.P(F16:F18)</f>
        <v>1.6423689684538403</v>
      </c>
    </row>
    <row r="19" spans="1:7" x14ac:dyDescent="0.35">
      <c r="A19" s="5"/>
      <c r="B19" s="4"/>
      <c r="C19" s="5"/>
      <c r="D19" s="4"/>
      <c r="E19" s="5"/>
      <c r="F19" s="4"/>
      <c r="G19" s="5"/>
    </row>
    <row r="20" spans="1:7" x14ac:dyDescent="0.35">
      <c r="A20" s="2"/>
      <c r="B20" s="2"/>
      <c r="C20" s="2"/>
      <c r="D20" s="2"/>
      <c r="E20" s="2"/>
      <c r="F20" s="2"/>
      <c r="G20" s="2"/>
    </row>
    <row r="21" spans="1:7" ht="28.5" customHeight="1" x14ac:dyDescent="0.35">
      <c r="A21" s="17" t="s">
        <v>53</v>
      </c>
      <c r="B21" s="18" t="s">
        <v>68</v>
      </c>
      <c r="C21" s="17" t="s">
        <v>55</v>
      </c>
      <c r="D21" s="18" t="s">
        <v>69</v>
      </c>
      <c r="E21" s="17" t="s">
        <v>55</v>
      </c>
      <c r="F21" s="18" t="s">
        <v>70</v>
      </c>
      <c r="G21" s="17" t="s">
        <v>55</v>
      </c>
    </row>
    <row r="22" spans="1:7" x14ac:dyDescent="0.35">
      <c r="A22" s="5" t="s">
        <v>59</v>
      </c>
      <c r="B22" s="2">
        <f>30*51</f>
        <v>1530</v>
      </c>
      <c r="C22" s="9">
        <f>AVERAGE(B22:B24)</f>
        <v>1588</v>
      </c>
      <c r="D22" s="2">
        <f>26*44</f>
        <v>1144</v>
      </c>
      <c r="E22" s="9">
        <f>AVERAGE(D22:D24)</f>
        <v>1148</v>
      </c>
      <c r="F22" s="4">
        <f>((B22-D22)/D22)*100</f>
        <v>33.74125874125874</v>
      </c>
      <c r="G22" s="9">
        <f>AVERAGE(F22:F24)</f>
        <v>38.33738725043073</v>
      </c>
    </row>
    <row r="23" spans="1:7" x14ac:dyDescent="0.35">
      <c r="A23" s="5" t="s">
        <v>60</v>
      </c>
      <c r="B23" s="2">
        <f>30*52</f>
        <v>1560</v>
      </c>
      <c r="C23" s="5"/>
      <c r="D23" s="2">
        <f>24*46</f>
        <v>1104</v>
      </c>
      <c r="E23" s="5"/>
      <c r="F23" s="4">
        <f t="shared" ref="F23:F28" si="2">((B23-D23)/D23)*100</f>
        <v>41.304347826086953</v>
      </c>
      <c r="G23" s="5"/>
    </row>
    <row r="24" spans="1:7" x14ac:dyDescent="0.35">
      <c r="A24" s="5" t="s">
        <v>61</v>
      </c>
      <c r="B24" s="2">
        <f>31*54</f>
        <v>1674</v>
      </c>
      <c r="C24" s="8">
        <f>_xlfn.STDEV.P(B22:B24)</f>
        <v>62.032249677083293</v>
      </c>
      <c r="D24" s="2">
        <f>26*46</f>
        <v>1196</v>
      </c>
      <c r="E24" s="8">
        <f>_xlfn.STDEV.P(D22:D24)</f>
        <v>37.66519171153476</v>
      </c>
      <c r="F24" s="4">
        <f t="shared" si="2"/>
        <v>39.96655518394649</v>
      </c>
      <c r="G24" s="8">
        <f>_xlfn.STDEV.P(F22:F24)</f>
        <v>3.2955242620822287</v>
      </c>
    </row>
    <row r="25" spans="1:7" x14ac:dyDescent="0.35">
      <c r="A25" s="22"/>
      <c r="B25" s="2"/>
      <c r="C25" s="5"/>
      <c r="D25" s="2"/>
      <c r="E25" s="5"/>
      <c r="F25" s="4"/>
      <c r="G25" s="5"/>
    </row>
    <row r="26" spans="1:7" x14ac:dyDescent="0.35">
      <c r="A26" s="5" t="s">
        <v>62</v>
      </c>
      <c r="B26" s="2">
        <f>30*49</f>
        <v>1470</v>
      </c>
      <c r="C26" s="9">
        <f>AVERAGE(B26:B28)</f>
        <v>1406.3333333333333</v>
      </c>
      <c r="D26" s="2">
        <f>26*44</f>
        <v>1144</v>
      </c>
      <c r="E26" s="9">
        <f>AVERAGE(D26:D28)</f>
        <v>1131.3333333333333</v>
      </c>
      <c r="F26" s="4">
        <f t="shared" si="2"/>
        <v>28.496503496503493</v>
      </c>
      <c r="G26" s="9">
        <f>AVERAGE(F26:F28)</f>
        <v>24.284019684019682</v>
      </c>
    </row>
    <row r="27" spans="1:7" x14ac:dyDescent="0.35">
      <c r="A27" s="5" t="s">
        <v>63</v>
      </c>
      <c r="B27" s="2">
        <f>28*49</f>
        <v>1372</v>
      </c>
      <c r="C27" s="5"/>
      <c r="D27" s="2">
        <f>25*45</f>
        <v>1125</v>
      </c>
      <c r="E27" s="5"/>
      <c r="F27" s="4">
        <f t="shared" si="2"/>
        <v>21.955555555555556</v>
      </c>
      <c r="G27" s="5"/>
    </row>
    <row r="28" spans="1:7" x14ac:dyDescent="0.35">
      <c r="A28" s="5" t="s">
        <v>64</v>
      </c>
      <c r="B28" s="2">
        <f>27*51</f>
        <v>1377</v>
      </c>
      <c r="C28" s="8">
        <f>_xlfn.STDEV.P(B26:B28)</f>
        <v>45.065384597148274</v>
      </c>
      <c r="D28" s="2">
        <f>25*45</f>
        <v>1125</v>
      </c>
      <c r="E28" s="8">
        <f>_xlfn.STDEV.P(D26:D28)</f>
        <v>8.9566858950296009</v>
      </c>
      <c r="F28" s="4">
        <f t="shared" si="2"/>
        <v>22.400000000000002</v>
      </c>
      <c r="G28" s="8">
        <f>_xlfn.STDEV.P(F26:F28)</f>
        <v>2.9841970018614181</v>
      </c>
    </row>
    <row r="29" spans="1:7" x14ac:dyDescent="0.35">
      <c r="A29" s="5"/>
      <c r="B29" s="2"/>
      <c r="C29" s="5"/>
      <c r="D29" s="2"/>
      <c r="E29" s="5"/>
      <c r="F29" s="4"/>
      <c r="G29" s="5"/>
    </row>
    <row r="30" spans="1:7" x14ac:dyDescent="0.35">
      <c r="A30" s="2"/>
      <c r="B30" s="2"/>
      <c r="C30" s="2"/>
      <c r="D30" s="2"/>
      <c r="E30" s="2"/>
      <c r="F30" s="2"/>
      <c r="G30" s="2"/>
    </row>
    <row r="31" spans="1:7" ht="30" customHeight="1" x14ac:dyDescent="0.35">
      <c r="A31" s="17" t="s">
        <v>53</v>
      </c>
      <c r="B31" s="18" t="s">
        <v>71</v>
      </c>
      <c r="C31" s="17" t="s">
        <v>55</v>
      </c>
      <c r="D31" s="18" t="s">
        <v>72</v>
      </c>
      <c r="E31" s="17" t="s">
        <v>55</v>
      </c>
      <c r="F31" s="18" t="s">
        <v>73</v>
      </c>
      <c r="G31" s="17" t="s">
        <v>55</v>
      </c>
    </row>
    <row r="32" spans="1:7" x14ac:dyDescent="0.35">
      <c r="A32" s="5" t="s">
        <v>59</v>
      </c>
      <c r="B32" s="13">
        <v>0.11269999999999999</v>
      </c>
      <c r="C32" s="10">
        <f>AVERAGE(B32:B34)</f>
        <v>0.11193333333333333</v>
      </c>
      <c r="D32" s="2">
        <v>6.4199999999999993E-2</v>
      </c>
      <c r="E32" s="10">
        <f>AVERAGE(D32:D34)</f>
        <v>6.3299999999999995E-2</v>
      </c>
      <c r="F32" s="4">
        <f>((B32-D32)/D32)*100</f>
        <v>75.545171339563879</v>
      </c>
      <c r="G32" s="9">
        <f>AVERAGE(F32:F34)</f>
        <v>76.906113853707254</v>
      </c>
    </row>
    <row r="33" spans="1:7" x14ac:dyDescent="0.35">
      <c r="A33" s="5" t="s">
        <v>60</v>
      </c>
      <c r="B33" s="13">
        <v>0.1026</v>
      </c>
      <c r="C33" s="11"/>
      <c r="D33" s="2">
        <v>5.74E-2</v>
      </c>
      <c r="E33" s="11"/>
      <c r="F33" s="4">
        <f t="shared" ref="F33:F38" si="3">((B33-D33)/D33)*100</f>
        <v>78.745644599303134</v>
      </c>
      <c r="G33" s="5"/>
    </row>
    <row r="34" spans="1:7" x14ac:dyDescent="0.35">
      <c r="A34" s="5" t="s">
        <v>61</v>
      </c>
      <c r="B34" s="13">
        <v>0.1205</v>
      </c>
      <c r="C34" s="12">
        <f>_xlfn.STDEV.P(B32:B34)</f>
        <v>7.3277251282751832E-3</v>
      </c>
      <c r="D34" s="2">
        <v>6.83E-2</v>
      </c>
      <c r="E34" s="12">
        <f>_xlfn.STDEV.P(D32:D34)</f>
        <v>4.4951826065986085E-3</v>
      </c>
      <c r="F34" s="4">
        <f t="shared" si="3"/>
        <v>76.427525622254748</v>
      </c>
      <c r="G34" s="8">
        <f>_xlfn.STDEV.P(F32:F34)</f>
        <v>1.3497017678090051</v>
      </c>
    </row>
    <row r="35" spans="1:7" x14ac:dyDescent="0.35">
      <c r="A35" s="22"/>
      <c r="B35" s="14"/>
      <c r="C35" s="11"/>
      <c r="D35" s="2"/>
      <c r="E35" s="11"/>
      <c r="F35" s="4"/>
      <c r="G35" s="5"/>
    </row>
    <row r="36" spans="1:7" x14ac:dyDescent="0.35">
      <c r="A36" s="5" t="s">
        <v>62</v>
      </c>
      <c r="B36" s="13">
        <v>0.1037</v>
      </c>
      <c r="C36" s="10">
        <f>AVERAGE(B36:B38)</f>
        <v>0.1032</v>
      </c>
      <c r="D36" s="2">
        <v>7.6899999999999996E-2</v>
      </c>
      <c r="E36" s="10">
        <f>AVERAGE(D36:D38)</f>
        <v>7.7566666666666673E-2</v>
      </c>
      <c r="F36" s="4">
        <f t="shared" si="3"/>
        <v>34.850455136540972</v>
      </c>
      <c r="G36" s="9">
        <f>AVERAGE(F36:F38)</f>
        <v>33.051902860203967</v>
      </c>
    </row>
    <row r="37" spans="1:7" x14ac:dyDescent="0.35">
      <c r="A37" s="5" t="s">
        <v>63</v>
      </c>
      <c r="B37" s="13">
        <v>0.1004</v>
      </c>
      <c r="C37" s="11"/>
      <c r="D37" s="2">
        <v>7.7799999999999994E-2</v>
      </c>
      <c r="E37" s="11"/>
      <c r="F37" s="4">
        <f t="shared" si="3"/>
        <v>29.048843187660683</v>
      </c>
      <c r="G37" s="5"/>
    </row>
    <row r="38" spans="1:7" x14ac:dyDescent="0.35">
      <c r="A38" s="5" t="s">
        <v>64</v>
      </c>
      <c r="B38" s="13">
        <v>0.1055</v>
      </c>
      <c r="C38" s="12">
        <f>_xlfn.STDEV.P(B36:B38)</f>
        <v>2.1118712081942847E-3</v>
      </c>
      <c r="D38" s="2">
        <v>7.8E-2</v>
      </c>
      <c r="E38" s="12">
        <f>_xlfn.STDEV.P(D36:D38)</f>
        <v>4.7842333648024494E-4</v>
      </c>
      <c r="F38" s="4">
        <f t="shared" si="3"/>
        <v>35.256410256410255</v>
      </c>
      <c r="G38" s="8">
        <f>_xlfn.STDEV.P(F36:F38)</f>
        <v>2.8354382314195923</v>
      </c>
    </row>
    <row r="39" spans="1:7" x14ac:dyDescent="0.35">
      <c r="A39" s="5"/>
      <c r="B39" s="14"/>
      <c r="C39" s="11"/>
      <c r="D39" s="2"/>
      <c r="E39" s="11"/>
      <c r="F39" s="4"/>
      <c r="G39" s="5"/>
    </row>
    <row r="40" spans="1:7" x14ac:dyDescent="0.35">
      <c r="A40" s="2"/>
      <c r="B40" s="2"/>
      <c r="C40" s="2"/>
      <c r="D40" s="2"/>
      <c r="E40" s="2"/>
      <c r="F40" s="2"/>
      <c r="G40" s="2"/>
    </row>
    <row r="41" spans="1:7" x14ac:dyDescent="0.35">
      <c r="A41" s="2"/>
      <c r="B41" s="2"/>
      <c r="C41" s="2"/>
      <c r="D41" s="2"/>
      <c r="E41" s="2"/>
      <c r="F41" s="2"/>
      <c r="G41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191DE-12A0-44AD-A715-B5AA9F78E01F}">
  <sheetPr>
    <tabColor theme="4"/>
  </sheetPr>
  <dimension ref="A1:H41"/>
  <sheetViews>
    <sheetView topLeftCell="B16" workbookViewId="0">
      <selection activeCell="I46" sqref="I46"/>
    </sheetView>
  </sheetViews>
  <sheetFormatPr defaultRowHeight="14.5" x14ac:dyDescent="0.35"/>
  <cols>
    <col min="1" max="7" width="11.1796875" style="1" customWidth="1"/>
    <col min="8" max="9" width="11.1796875" customWidth="1"/>
  </cols>
  <sheetData>
    <row r="1" spans="1:8" ht="30" customHeight="1" x14ac:dyDescent="0.35">
      <c r="A1" s="17" t="s">
        <v>53</v>
      </c>
      <c r="B1" s="18" t="s">
        <v>54</v>
      </c>
      <c r="C1" s="17" t="s">
        <v>55</v>
      </c>
      <c r="D1" s="19" t="s">
        <v>56</v>
      </c>
      <c r="E1" s="20" t="s">
        <v>57</v>
      </c>
      <c r="F1" s="21" t="s">
        <v>58</v>
      </c>
      <c r="G1" s="17" t="s">
        <v>55</v>
      </c>
    </row>
    <row r="2" spans="1:8" x14ac:dyDescent="0.35">
      <c r="A2" s="5" t="s">
        <v>59</v>
      </c>
      <c r="B2" s="3">
        <v>1.57</v>
      </c>
      <c r="C2" s="6">
        <f>AVERAGE(B2:B4)</f>
        <v>1.7</v>
      </c>
      <c r="E2" s="16"/>
      <c r="F2" s="15" t="e">
        <f>0.425/(D2*E2)*1000</f>
        <v>#DIV/0!</v>
      </c>
      <c r="G2" s="6" t="e">
        <f>AVERAGE(F2:F4)</f>
        <v>#DIV/0!</v>
      </c>
    </row>
    <row r="3" spans="1:8" x14ac:dyDescent="0.35">
      <c r="A3" s="5" t="s">
        <v>60</v>
      </c>
      <c r="B3" s="3">
        <v>1.81</v>
      </c>
      <c r="C3" s="7"/>
      <c r="E3" s="16"/>
      <c r="F3" s="15" t="e">
        <f t="shared" ref="F3:F8" si="0">0.425/(D3*E3)*1000</f>
        <v>#DIV/0!</v>
      </c>
      <c r="G3" s="7"/>
    </row>
    <row r="4" spans="1:8" x14ac:dyDescent="0.35">
      <c r="A4" s="5" t="s">
        <v>61</v>
      </c>
      <c r="B4" s="3">
        <v>1.72</v>
      </c>
      <c r="C4" s="8">
        <f>_xlfn.STDEV.P(B2:B4)</f>
        <v>9.899494936611665E-2</v>
      </c>
      <c r="E4" s="16"/>
      <c r="F4" s="15" t="e">
        <f t="shared" si="0"/>
        <v>#DIV/0!</v>
      </c>
      <c r="G4" s="8" t="e">
        <f>_xlfn.STDEV.P(F2:F4)</f>
        <v>#DIV/0!</v>
      </c>
    </row>
    <row r="5" spans="1:8" x14ac:dyDescent="0.35">
      <c r="A5" s="22"/>
      <c r="B5" s="3"/>
      <c r="C5" s="7"/>
      <c r="E5" s="16"/>
      <c r="F5" s="15"/>
      <c r="G5" s="7"/>
    </row>
    <row r="6" spans="1:8" x14ac:dyDescent="0.35">
      <c r="A6" s="5" t="s">
        <v>62</v>
      </c>
      <c r="B6" s="3">
        <v>1.6</v>
      </c>
      <c r="C6" s="6">
        <f>AVERAGE(B6:B8)</f>
        <v>1.5933333333333335</v>
      </c>
      <c r="E6" s="16"/>
      <c r="F6" s="15" t="e">
        <f t="shared" si="0"/>
        <v>#DIV/0!</v>
      </c>
      <c r="G6" s="6" t="e">
        <f>AVERAGE(F6:F8)</f>
        <v>#DIV/0!</v>
      </c>
    </row>
    <row r="7" spans="1:8" x14ac:dyDescent="0.35">
      <c r="A7" s="5" t="s">
        <v>63</v>
      </c>
      <c r="B7" s="3">
        <v>1.57</v>
      </c>
      <c r="C7" s="7"/>
      <c r="E7" s="16"/>
      <c r="F7" s="15" t="e">
        <f t="shared" si="0"/>
        <v>#DIV/0!</v>
      </c>
      <c r="G7" s="7"/>
    </row>
    <row r="8" spans="1:8" x14ac:dyDescent="0.35">
      <c r="A8" s="5" t="s">
        <v>64</v>
      </c>
      <c r="B8" s="3">
        <v>1.61</v>
      </c>
      <c r="C8" s="8">
        <f>_xlfn.STDEV.P(B6:B8)</f>
        <v>1.6996731711975962E-2</v>
      </c>
      <c r="E8" s="16"/>
      <c r="F8" s="15" t="e">
        <f t="shared" si="0"/>
        <v>#DIV/0!</v>
      </c>
      <c r="G8" s="8" t="e">
        <f>_xlfn.STDEV.P(F6:F8)</f>
        <v>#DIV/0!</v>
      </c>
    </row>
    <row r="9" spans="1:8" x14ac:dyDescent="0.35">
      <c r="A9" s="5"/>
      <c r="B9" s="3"/>
      <c r="C9" s="7"/>
      <c r="E9" s="16"/>
      <c r="F9" s="15"/>
      <c r="G9" s="7"/>
    </row>
    <row r="10" spans="1:8" x14ac:dyDescent="0.35">
      <c r="A10" s="2"/>
      <c r="B10" s="2"/>
      <c r="C10" s="2"/>
      <c r="D10" s="2"/>
      <c r="E10" s="2"/>
      <c r="G10" s="2"/>
      <c r="H10" s="2"/>
    </row>
    <row r="11" spans="1:8" ht="30" customHeight="1" x14ac:dyDescent="0.35">
      <c r="A11" s="17" t="s">
        <v>53</v>
      </c>
      <c r="B11" s="18" t="s">
        <v>65</v>
      </c>
      <c r="C11" s="17" t="s">
        <v>55</v>
      </c>
      <c r="D11" s="18" t="s">
        <v>66</v>
      </c>
      <c r="E11" s="17" t="s">
        <v>55</v>
      </c>
      <c r="F11" s="18" t="s">
        <v>67</v>
      </c>
      <c r="G11" s="17" t="s">
        <v>55</v>
      </c>
    </row>
    <row r="12" spans="1:8" x14ac:dyDescent="0.35">
      <c r="A12" s="5" t="s">
        <v>59</v>
      </c>
      <c r="B12" s="4">
        <f>AVERAGE(65,66,63)</f>
        <v>64.666666666666671</v>
      </c>
      <c r="C12" s="9">
        <f>AVERAGE(B12:B14)</f>
        <v>64.333333333333329</v>
      </c>
      <c r="D12" s="4">
        <f>AVERAGE(46,49,46)</f>
        <v>47</v>
      </c>
      <c r="E12" s="9">
        <f>AVERAGE(D12:D14)</f>
        <v>45.888888888888893</v>
      </c>
      <c r="F12" s="4">
        <f>((B12-D12)/D12*100)</f>
        <v>37.588652482269516</v>
      </c>
      <c r="G12" s="9">
        <f>AVERAGE(F12:F14)</f>
        <v>40.225629258795713</v>
      </c>
    </row>
    <row r="13" spans="1:8" x14ac:dyDescent="0.35">
      <c r="A13" s="5" t="s">
        <v>60</v>
      </c>
      <c r="B13" s="4">
        <f>AVERAGE(64,63,62)</f>
        <v>63</v>
      </c>
      <c r="C13" s="5"/>
      <c r="D13" s="4">
        <f>AVERAGE(45,46,45)</f>
        <v>45.333333333333336</v>
      </c>
      <c r="E13" s="5"/>
      <c r="F13" s="4">
        <f t="shared" ref="F13:F18" si="1">((B13-D13)/D13*100)</f>
        <v>38.970588235294116</v>
      </c>
      <c r="G13" s="5"/>
    </row>
    <row r="14" spans="1:8" x14ac:dyDescent="0.35">
      <c r="A14" s="5" t="s">
        <v>61</v>
      </c>
      <c r="B14" s="4">
        <f>AVERAGE(65,65,66)</f>
        <v>65.333333333333329</v>
      </c>
      <c r="C14" s="8">
        <f>_xlfn.STDEV.P(B12:B14)</f>
        <v>0.98130676292531527</v>
      </c>
      <c r="D14" s="4">
        <f>AVERAGE(46,43,47)</f>
        <v>45.333333333333336</v>
      </c>
      <c r="E14" s="8">
        <f>_xlfn.STDEV.P(D12:D14)</f>
        <v>0.78567420131838506</v>
      </c>
      <c r="F14" s="4">
        <f t="shared" si="1"/>
        <v>44.117647058823515</v>
      </c>
      <c r="G14" s="8">
        <f>_xlfn.STDEV.P(F12:F14)</f>
        <v>2.8093046023493473</v>
      </c>
    </row>
    <row r="15" spans="1:8" x14ac:dyDescent="0.35">
      <c r="A15" s="22"/>
      <c r="B15" s="4"/>
      <c r="C15" s="5"/>
      <c r="D15" s="4"/>
      <c r="E15" s="5"/>
      <c r="F15" s="4"/>
      <c r="G15" s="5"/>
    </row>
    <row r="16" spans="1:8" x14ac:dyDescent="0.35">
      <c r="A16" s="5" t="s">
        <v>62</v>
      </c>
      <c r="B16" s="4">
        <f>AVERAGE(56,56,57)</f>
        <v>56.333333333333336</v>
      </c>
      <c r="C16" s="9">
        <f>AVERAGE(B16:B18)</f>
        <v>56.111111111111114</v>
      </c>
      <c r="D16" s="4">
        <f>AVERAGE(49,46,45)</f>
        <v>46.666666666666664</v>
      </c>
      <c r="E16" s="9">
        <f>AVERAGE(D16:D18)</f>
        <v>47.777777777777779</v>
      </c>
      <c r="F16" s="4">
        <f t="shared" si="1"/>
        <v>20.714285714285726</v>
      </c>
      <c r="G16" s="9">
        <f>AVERAGE(F16:F18)</f>
        <v>17.484003117805937</v>
      </c>
    </row>
    <row r="17" spans="1:7" x14ac:dyDescent="0.35">
      <c r="A17" s="5" t="s">
        <v>63</v>
      </c>
      <c r="B17" s="4">
        <f>AVERAGE(56,54,55)</f>
        <v>55</v>
      </c>
      <c r="C17" s="5"/>
      <c r="D17" s="4">
        <f>AVERAGE(47,48,47)</f>
        <v>47.333333333333336</v>
      </c>
      <c r="E17" s="5"/>
      <c r="F17" s="4">
        <f t="shared" si="1"/>
        <v>16.197183098591545</v>
      </c>
      <c r="G17" s="5"/>
    </row>
    <row r="18" spans="1:7" x14ac:dyDescent="0.35">
      <c r="A18" s="5" t="s">
        <v>64</v>
      </c>
      <c r="B18" s="4">
        <f>AVERAGE(57,57,57)</f>
        <v>57</v>
      </c>
      <c r="C18" s="8">
        <f>_xlfn.STDEV.P(B16:B18)</f>
        <v>0.83147941928309832</v>
      </c>
      <c r="D18" s="4">
        <f>AVERAGE(50,50,48)</f>
        <v>49.333333333333336</v>
      </c>
      <c r="E18" s="8">
        <f>_xlfn.STDEV.P(D16:D18)</f>
        <v>1.1331154474650649</v>
      </c>
      <c r="F18" s="4">
        <f t="shared" si="1"/>
        <v>15.540540540540535</v>
      </c>
      <c r="G18" s="8">
        <f>_xlfn.STDEV.P(F16:F18)</f>
        <v>2.2998317477735983</v>
      </c>
    </row>
    <row r="19" spans="1:7" x14ac:dyDescent="0.35">
      <c r="A19" s="5"/>
      <c r="B19" s="4"/>
      <c r="C19" s="5"/>
      <c r="D19" s="4"/>
      <c r="E19" s="5"/>
      <c r="F19" s="4"/>
      <c r="G19" s="5"/>
    </row>
    <row r="20" spans="1:7" x14ac:dyDescent="0.35">
      <c r="A20" s="2"/>
      <c r="B20" s="2"/>
      <c r="C20" s="2"/>
      <c r="D20" s="2"/>
      <c r="E20" s="2"/>
      <c r="F20" s="2"/>
      <c r="G20" s="2"/>
    </row>
    <row r="21" spans="1:7" ht="28.5" customHeight="1" x14ac:dyDescent="0.35">
      <c r="A21" s="17" t="s">
        <v>53</v>
      </c>
      <c r="B21" s="18" t="s">
        <v>68</v>
      </c>
      <c r="C21" s="17" t="s">
        <v>55</v>
      </c>
      <c r="D21" s="18" t="s">
        <v>69</v>
      </c>
      <c r="E21" s="17" t="s">
        <v>55</v>
      </c>
      <c r="F21" s="18" t="s">
        <v>70</v>
      </c>
      <c r="G21" s="17" t="s">
        <v>55</v>
      </c>
    </row>
    <row r="22" spans="1:7" x14ac:dyDescent="0.35">
      <c r="A22" s="5" t="s">
        <v>59</v>
      </c>
      <c r="B22" s="2">
        <f>32*41</f>
        <v>1312</v>
      </c>
      <c r="C22" s="9">
        <f>AVERAGE(B22:B24)</f>
        <v>1287.6666666666667</v>
      </c>
      <c r="D22" s="2">
        <f>27*31</f>
        <v>837</v>
      </c>
      <c r="E22" s="9">
        <f>AVERAGE(D22:D24)</f>
        <v>845.66666666666663</v>
      </c>
      <c r="F22" s="4">
        <f>((B22-D22)/D22)*100</f>
        <v>56.750298685782553</v>
      </c>
      <c r="G22" s="9">
        <f>AVERAGE(F22:F24)</f>
        <v>52.326719850241354</v>
      </c>
    </row>
    <row r="23" spans="1:7" x14ac:dyDescent="0.35">
      <c r="A23" s="5" t="s">
        <v>60</v>
      </c>
      <c r="B23" s="2">
        <f>32*40</f>
        <v>1280</v>
      </c>
      <c r="C23" s="5"/>
      <c r="D23" s="2">
        <f>28*31</f>
        <v>868</v>
      </c>
      <c r="E23" s="5"/>
      <c r="F23" s="4">
        <f t="shared" ref="F23:F28" si="2">((B23-D23)/D23)*100</f>
        <v>47.465437788018434</v>
      </c>
      <c r="G23" s="5"/>
    </row>
    <row r="24" spans="1:7" x14ac:dyDescent="0.35">
      <c r="A24" s="5" t="s">
        <v>61</v>
      </c>
      <c r="B24" s="2">
        <f>31*41</f>
        <v>1271</v>
      </c>
      <c r="C24" s="8">
        <f>_xlfn.STDEV.P(B22:B24)</f>
        <v>17.594190960528863</v>
      </c>
      <c r="D24" s="2">
        <f>26*32</f>
        <v>832</v>
      </c>
      <c r="E24" s="8">
        <f>_xlfn.STDEV.P(D22:D24)</f>
        <v>15.92342788332825</v>
      </c>
      <c r="F24" s="4">
        <f t="shared" si="2"/>
        <v>52.764423076923073</v>
      </c>
      <c r="G24" s="8">
        <f>_xlfn.STDEV.P(F22:F24)</f>
        <v>3.8031433103590309</v>
      </c>
    </row>
    <row r="25" spans="1:7" x14ac:dyDescent="0.35">
      <c r="A25" s="22"/>
      <c r="B25" s="2"/>
      <c r="C25" s="5"/>
      <c r="D25" s="2"/>
      <c r="E25" s="5"/>
      <c r="F25" s="4"/>
      <c r="G25" s="5"/>
    </row>
    <row r="26" spans="1:7" x14ac:dyDescent="0.35">
      <c r="A26" s="5" t="s">
        <v>62</v>
      </c>
      <c r="B26" s="2">
        <f>31*41</f>
        <v>1271</v>
      </c>
      <c r="C26" s="9">
        <f>AVERAGE(B26:B28)</f>
        <v>1277</v>
      </c>
      <c r="D26" s="2">
        <f>27*35</f>
        <v>945</v>
      </c>
      <c r="E26" s="9">
        <f>AVERAGE(D26:D28)</f>
        <v>987</v>
      </c>
      <c r="F26" s="4">
        <f t="shared" si="2"/>
        <v>34.4973544973545</v>
      </c>
      <c r="G26" s="9">
        <f>AVERAGE(F26:F28)</f>
        <v>29.407447951509255</v>
      </c>
    </row>
    <row r="27" spans="1:7" x14ac:dyDescent="0.35">
      <c r="A27" s="5" t="s">
        <v>63</v>
      </c>
      <c r="B27" s="2">
        <f>30*40</f>
        <v>1200</v>
      </c>
      <c r="C27" s="5"/>
      <c r="D27" s="2">
        <f>27*36</f>
        <v>972</v>
      </c>
      <c r="E27" s="5"/>
      <c r="F27" s="4">
        <f t="shared" si="2"/>
        <v>23.456790123456788</v>
      </c>
      <c r="G27" s="5"/>
    </row>
    <row r="28" spans="1:7" x14ac:dyDescent="0.35">
      <c r="A28" s="5" t="s">
        <v>64</v>
      </c>
      <c r="B28" s="2">
        <f>34*40</f>
        <v>1360</v>
      </c>
      <c r="C28" s="8">
        <f>_xlfn.STDEV.P(B26:B28)</f>
        <v>65.457365259126234</v>
      </c>
      <c r="D28" s="2">
        <f>29*36</f>
        <v>1044</v>
      </c>
      <c r="E28" s="8">
        <f>_xlfn.STDEV.P(D26:D28)</f>
        <v>41.785164831552358</v>
      </c>
      <c r="F28" s="4">
        <f t="shared" si="2"/>
        <v>30.268199233716476</v>
      </c>
      <c r="G28" s="8">
        <f>_xlfn.STDEV.P(F26:F28)</f>
        <v>4.5482000103272267</v>
      </c>
    </row>
    <row r="29" spans="1:7" x14ac:dyDescent="0.35">
      <c r="A29" s="5"/>
      <c r="B29" s="2"/>
      <c r="C29" s="5"/>
      <c r="D29" s="2"/>
      <c r="E29" s="5"/>
      <c r="F29" s="4"/>
      <c r="G29" s="5"/>
    </row>
    <row r="30" spans="1:7" x14ac:dyDescent="0.35">
      <c r="A30" s="2"/>
      <c r="B30" s="2"/>
      <c r="C30" s="2"/>
      <c r="D30" s="2"/>
      <c r="E30" s="2"/>
      <c r="F30" s="2"/>
      <c r="G30" s="2"/>
    </row>
    <row r="31" spans="1:7" ht="30" customHeight="1" x14ac:dyDescent="0.35">
      <c r="A31" s="17" t="s">
        <v>53</v>
      </c>
      <c r="B31" s="18" t="s">
        <v>71</v>
      </c>
      <c r="C31" s="17" t="s">
        <v>55</v>
      </c>
      <c r="D31" s="18" t="s">
        <v>72</v>
      </c>
      <c r="E31" s="17" t="s">
        <v>55</v>
      </c>
      <c r="F31" s="18" t="s">
        <v>73</v>
      </c>
      <c r="G31" s="17" t="s">
        <v>55</v>
      </c>
    </row>
    <row r="32" spans="1:7" x14ac:dyDescent="0.35">
      <c r="A32" s="5" t="s">
        <v>59</v>
      </c>
      <c r="B32" s="13">
        <v>9.3700000000000006E-2</v>
      </c>
      <c r="C32" s="10">
        <f>AVERAGE(B32:B34)</f>
        <v>9.3333333333333324E-2</v>
      </c>
      <c r="D32" s="2">
        <v>4.8099999999999997E-2</v>
      </c>
      <c r="E32" s="10">
        <f>AVERAGE(D32:D34)</f>
        <v>4.7866666666666668E-2</v>
      </c>
      <c r="F32" s="4">
        <f>((B32-D32)/D32)*100</f>
        <v>94.802494802494834</v>
      </c>
      <c r="G32" s="9">
        <f>AVERAGE(F32:F34)</f>
        <v>94.967854464090706</v>
      </c>
    </row>
    <row r="33" spans="1:7" x14ac:dyDescent="0.35">
      <c r="A33" s="5" t="s">
        <v>60</v>
      </c>
      <c r="B33" s="13">
        <v>9.5399999999999999E-2</v>
      </c>
      <c r="C33" s="11"/>
      <c r="D33" s="2">
        <v>4.8399999999999999E-2</v>
      </c>
      <c r="E33" s="11"/>
      <c r="F33" s="4">
        <f t="shared" ref="F33:F38" si="3">((B33-D33)/D33)*100</f>
        <v>97.107438016528931</v>
      </c>
      <c r="G33" s="5"/>
    </row>
    <row r="34" spans="1:7" x14ac:dyDescent="0.35">
      <c r="A34" s="5" t="s">
        <v>61</v>
      </c>
      <c r="B34" s="13">
        <v>9.0899999999999995E-2</v>
      </c>
      <c r="C34" s="12">
        <f>_xlfn.STDEV.P(B32:B34)</f>
        <v>1.855322673343435E-3</v>
      </c>
      <c r="D34" s="2">
        <v>4.7100000000000003E-2</v>
      </c>
      <c r="E34" s="12">
        <f>_xlfn.STDEV.P(D32:D34)</f>
        <v>5.5577773335109993E-4</v>
      </c>
      <c r="F34" s="4">
        <f t="shared" si="3"/>
        <v>92.993630573248382</v>
      </c>
      <c r="G34" s="8">
        <f>_xlfn.STDEV.P(F32:F34)</f>
        <v>1.6835202767534345</v>
      </c>
    </row>
    <row r="35" spans="1:7" x14ac:dyDescent="0.35">
      <c r="A35" s="22"/>
      <c r="B35" s="14"/>
      <c r="C35" s="11"/>
      <c r="D35" s="2"/>
      <c r="E35" s="11"/>
      <c r="F35" s="4"/>
      <c r="G35" s="5"/>
    </row>
    <row r="36" spans="1:7" x14ac:dyDescent="0.35">
      <c r="A36" s="5" t="s">
        <v>62</v>
      </c>
      <c r="B36" s="13">
        <v>7.9899999999999999E-2</v>
      </c>
      <c r="C36" s="10">
        <f>AVERAGE(B36:B38)</f>
        <v>8.0766666666666667E-2</v>
      </c>
      <c r="D36" s="2">
        <v>6.0199999999999997E-2</v>
      </c>
      <c r="E36" s="10">
        <f>AVERAGE(D36:D38)</f>
        <v>6.1533333333333329E-2</v>
      </c>
      <c r="F36" s="4">
        <f t="shared" si="3"/>
        <v>32.724252491694358</v>
      </c>
      <c r="G36" s="9">
        <f>AVERAGE(F36:F38)</f>
        <v>31.221710711545217</v>
      </c>
    </row>
    <row r="37" spans="1:7" x14ac:dyDescent="0.35">
      <c r="A37" s="5" t="s">
        <v>63</v>
      </c>
      <c r="B37" s="13">
        <v>7.6399999999999996E-2</v>
      </c>
      <c r="C37" s="11"/>
      <c r="D37" s="2">
        <v>5.9299999999999999E-2</v>
      </c>
      <c r="E37" s="11"/>
      <c r="F37" s="4">
        <f t="shared" si="3"/>
        <v>28.836424957841476</v>
      </c>
      <c r="G37" s="5"/>
    </row>
    <row r="38" spans="1:7" x14ac:dyDescent="0.35">
      <c r="A38" s="5" t="s">
        <v>64</v>
      </c>
      <c r="B38" s="13">
        <v>8.5999999999999993E-2</v>
      </c>
      <c r="C38" s="12">
        <f>_xlfn.STDEV.P(B36:B38)</f>
        <v>3.9668067202165962E-3</v>
      </c>
      <c r="D38" s="2">
        <v>6.5100000000000005E-2</v>
      </c>
      <c r="E38" s="12">
        <f>_xlfn.STDEV.P(D36:D38)</f>
        <v>2.5486379804820405E-3</v>
      </c>
      <c r="F38" s="4">
        <f t="shared" si="3"/>
        <v>32.104454685099824</v>
      </c>
      <c r="G38" s="8">
        <f>_xlfn.STDEV.P(F36:F38)</f>
        <v>1.7055260039806632</v>
      </c>
    </row>
    <row r="39" spans="1:7" x14ac:dyDescent="0.35">
      <c r="A39" s="5"/>
      <c r="B39" s="14"/>
      <c r="C39" s="11"/>
      <c r="D39" s="2"/>
      <c r="E39" s="11"/>
      <c r="F39" s="4"/>
      <c r="G39" s="5"/>
    </row>
    <row r="40" spans="1:7" x14ac:dyDescent="0.35">
      <c r="A40" s="2"/>
      <c r="B40" s="2"/>
      <c r="C40" s="2"/>
      <c r="D40" s="2"/>
      <c r="E40" s="2"/>
      <c r="F40" s="2"/>
      <c r="G40" s="2"/>
    </row>
    <row r="41" spans="1:7" x14ac:dyDescent="0.35">
      <c r="A41" s="2"/>
      <c r="B41" s="2"/>
      <c r="C41" s="2"/>
      <c r="D41" s="2"/>
      <c r="E41" s="2"/>
      <c r="F41" s="2"/>
      <c r="G41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7FE50-3AFC-468F-82AF-79F78EB478E9}">
  <sheetPr>
    <tabColor theme="9"/>
  </sheetPr>
  <dimension ref="A1:H41"/>
  <sheetViews>
    <sheetView workbookViewId="0">
      <selection activeCell="K4" sqref="K4"/>
    </sheetView>
  </sheetViews>
  <sheetFormatPr defaultRowHeight="14.5" x14ac:dyDescent="0.35"/>
  <cols>
    <col min="1" max="7" width="11.1796875" style="1" customWidth="1"/>
    <col min="8" max="9" width="11.1796875" customWidth="1"/>
  </cols>
  <sheetData>
    <row r="1" spans="1:8" ht="30" customHeight="1" x14ac:dyDescent="0.35">
      <c r="A1" s="17" t="s">
        <v>53</v>
      </c>
      <c r="B1" s="18" t="s">
        <v>54</v>
      </c>
      <c r="C1" s="17" t="s">
        <v>55</v>
      </c>
      <c r="D1" s="19" t="s">
        <v>56</v>
      </c>
      <c r="E1" s="20" t="s">
        <v>57</v>
      </c>
      <c r="F1" s="21" t="s">
        <v>58</v>
      </c>
      <c r="G1" s="17" t="s">
        <v>55</v>
      </c>
    </row>
    <row r="2" spans="1:8" x14ac:dyDescent="0.35">
      <c r="A2" s="5" t="s">
        <v>62</v>
      </c>
      <c r="B2" s="3">
        <v>1.85</v>
      </c>
      <c r="C2" s="6">
        <f>AVERAGE(B2:B4)</f>
        <v>1.8333333333333333</v>
      </c>
      <c r="E2" s="16"/>
      <c r="F2" s="15" t="e">
        <f>0.425/(D2*E2)*1000</f>
        <v>#DIV/0!</v>
      </c>
      <c r="G2" s="6" t="e">
        <f>AVERAGE(F2:F4)</f>
        <v>#DIV/0!</v>
      </c>
    </row>
    <row r="3" spans="1:8" x14ac:dyDescent="0.35">
      <c r="A3" s="5" t="s">
        <v>63</v>
      </c>
      <c r="B3" s="3">
        <v>1.85</v>
      </c>
      <c r="C3" s="7"/>
      <c r="E3" s="16"/>
      <c r="F3" s="15" t="e">
        <f>0.425/(D3*E3)*1000</f>
        <v>#DIV/0!</v>
      </c>
      <c r="G3" s="7"/>
    </row>
    <row r="4" spans="1:8" x14ac:dyDescent="0.35">
      <c r="A4" s="5" t="s">
        <v>64</v>
      </c>
      <c r="B4" s="3">
        <v>1.8</v>
      </c>
      <c r="C4" s="8">
        <f>_xlfn.STDEV.P(B2:B4)</f>
        <v>2.3570226039551605E-2</v>
      </c>
      <c r="E4" s="16"/>
      <c r="F4" s="15" t="e">
        <f>0.425/(D4*E4)*1000</f>
        <v>#DIV/0!</v>
      </c>
      <c r="G4" s="8" t="e">
        <f>_xlfn.STDEV.P(F2:F4)</f>
        <v>#DIV/0!</v>
      </c>
    </row>
    <row r="5" spans="1:8" x14ac:dyDescent="0.35">
      <c r="A5" s="5"/>
      <c r="B5" s="3"/>
      <c r="C5" s="7"/>
      <c r="E5" s="16"/>
      <c r="F5" s="15"/>
      <c r="G5" s="7"/>
    </row>
    <row r="6" spans="1:8" x14ac:dyDescent="0.35">
      <c r="A6" s="5" t="s">
        <v>59</v>
      </c>
      <c r="B6" s="3">
        <v>1.9</v>
      </c>
      <c r="C6" s="6">
        <f>AVERAGE(B6:B8)</f>
        <v>1.92</v>
      </c>
      <c r="E6" s="16"/>
      <c r="F6" s="15" t="e">
        <f>0.425/(D6*E6)*1000</f>
        <v>#DIV/0!</v>
      </c>
      <c r="G6" s="6" t="e">
        <f>AVERAGE(F6:F8)</f>
        <v>#DIV/0!</v>
      </c>
    </row>
    <row r="7" spans="1:8" x14ac:dyDescent="0.35">
      <c r="A7" s="5" t="s">
        <v>60</v>
      </c>
      <c r="B7" s="3">
        <v>1.98</v>
      </c>
      <c r="C7" s="7"/>
      <c r="E7" s="16"/>
      <c r="F7" s="15" t="e">
        <f>0.425/(D7*E7)*1000</f>
        <v>#DIV/0!</v>
      </c>
      <c r="G7" s="7"/>
    </row>
    <row r="8" spans="1:8" x14ac:dyDescent="0.35">
      <c r="A8" s="5" t="s">
        <v>61</v>
      </c>
      <c r="B8" s="3">
        <v>1.88</v>
      </c>
      <c r="C8" s="8">
        <f>_xlfn.STDEV.P(B6:B8)</f>
        <v>4.3204937989385774E-2</v>
      </c>
      <c r="E8" s="16"/>
      <c r="F8" s="15" t="e">
        <f>0.425/(D8*E8)*1000</f>
        <v>#DIV/0!</v>
      </c>
      <c r="G8" s="8" t="e">
        <f>_xlfn.STDEV.P(F6:F8)</f>
        <v>#DIV/0!</v>
      </c>
    </row>
    <row r="9" spans="1:8" x14ac:dyDescent="0.35">
      <c r="A9" s="5"/>
      <c r="B9" s="3"/>
      <c r="C9" s="7"/>
      <c r="E9" s="16"/>
      <c r="F9" s="15"/>
      <c r="G9" s="7"/>
    </row>
    <row r="10" spans="1:8" x14ac:dyDescent="0.35">
      <c r="A10" s="2"/>
      <c r="B10" s="2"/>
      <c r="C10" s="2"/>
      <c r="D10" s="2"/>
      <c r="E10" s="2"/>
      <c r="G10" s="2"/>
      <c r="H10" s="2"/>
    </row>
    <row r="11" spans="1:8" ht="30" customHeight="1" x14ac:dyDescent="0.35">
      <c r="A11" s="17" t="s">
        <v>53</v>
      </c>
      <c r="B11" s="18" t="s">
        <v>65</v>
      </c>
      <c r="C11" s="17" t="s">
        <v>55</v>
      </c>
      <c r="D11" s="18" t="s">
        <v>66</v>
      </c>
      <c r="E11" s="17" t="s">
        <v>55</v>
      </c>
      <c r="F11" s="18" t="s">
        <v>67</v>
      </c>
      <c r="G11" s="17" t="s">
        <v>55</v>
      </c>
    </row>
    <row r="12" spans="1:8" x14ac:dyDescent="0.35">
      <c r="A12" s="5" t="s">
        <v>62</v>
      </c>
      <c r="B12" s="4">
        <f>AVERAGE(60,62,61)</f>
        <v>61</v>
      </c>
      <c r="C12" s="9">
        <f>AVERAGE(B12:B14)</f>
        <v>60.777777777777779</v>
      </c>
      <c r="D12" s="4">
        <f>AVERAGE(48,48,47)</f>
        <v>47.666666666666664</v>
      </c>
      <c r="E12" s="9">
        <f>AVERAGE(D12:D14)</f>
        <v>45.777777777777779</v>
      </c>
      <c r="F12" s="4">
        <f>((B12-D12)/D12*100)</f>
        <v>27.972027972027981</v>
      </c>
      <c r="G12" s="9">
        <f>AVERAGE(F12:F14)</f>
        <v>32.88608274219785</v>
      </c>
    </row>
    <row r="13" spans="1:8" x14ac:dyDescent="0.35">
      <c r="A13" s="5" t="s">
        <v>63</v>
      </c>
      <c r="B13" s="4">
        <f>AVERAGE(63,61,63)</f>
        <v>62.333333333333336</v>
      </c>
      <c r="C13" s="5"/>
      <c r="D13" s="4">
        <f>AVERAGE(46,46,47)</f>
        <v>46.333333333333336</v>
      </c>
      <c r="E13" s="5"/>
      <c r="F13" s="4">
        <f>((B13-D13)/D13*100)</f>
        <v>34.532374100719423</v>
      </c>
      <c r="G13" s="5"/>
    </row>
    <row r="14" spans="1:8" x14ac:dyDescent="0.35">
      <c r="A14" s="5" t="s">
        <v>64</v>
      </c>
      <c r="B14" s="4">
        <f>AVERAGE(59,58,60)</f>
        <v>59</v>
      </c>
      <c r="C14" s="8">
        <f>_xlfn.STDEV.P(B12:B14)</f>
        <v>1.3698697784375511</v>
      </c>
      <c r="D14" s="4">
        <f>AVERAGE(46,43,41)</f>
        <v>43.333333333333336</v>
      </c>
      <c r="E14" s="8">
        <f>_xlfn.STDEV.P(D12:D14)</f>
        <v>1.8121673811444527</v>
      </c>
      <c r="F14" s="4">
        <f>((B14-D14)/D14*100)</f>
        <v>36.153846153846146</v>
      </c>
      <c r="G14" s="8">
        <f>_xlfn.STDEV.P(F12:F14)</f>
        <v>3.5372535125376525</v>
      </c>
    </row>
    <row r="15" spans="1:8" x14ac:dyDescent="0.35">
      <c r="A15" s="5"/>
      <c r="B15" s="4"/>
      <c r="C15" s="5"/>
      <c r="D15" s="4"/>
      <c r="E15" s="5"/>
      <c r="F15" s="4"/>
      <c r="G15" s="5"/>
    </row>
    <row r="16" spans="1:8" x14ac:dyDescent="0.35">
      <c r="A16" s="5" t="s">
        <v>59</v>
      </c>
      <c r="B16" s="4">
        <f>AVERAGE(63,64,63)</f>
        <v>63.333333333333336</v>
      </c>
      <c r="C16" s="9">
        <f>AVERAGE(B16:B18)</f>
        <v>61.555555555555564</v>
      </c>
      <c r="D16" s="4">
        <f>AVERAGE(48,49,47)</f>
        <v>48</v>
      </c>
      <c r="E16" s="9">
        <f>AVERAGE(D16:D18)</f>
        <v>46.888888888888886</v>
      </c>
      <c r="F16" s="4">
        <f>((B16-D16)/D16*100)</f>
        <v>31.944444444444446</v>
      </c>
      <c r="G16" s="9">
        <f>AVERAGE(F16:F18)</f>
        <v>31.272716816195082</v>
      </c>
    </row>
    <row r="17" spans="1:7" x14ac:dyDescent="0.35">
      <c r="A17" s="5" t="s">
        <v>60</v>
      </c>
      <c r="B17" s="4">
        <f>AVERAGE(61,61,61)</f>
        <v>61</v>
      </c>
      <c r="C17" s="5"/>
      <c r="D17" s="4">
        <f>AVERAGE(47,46,47)</f>
        <v>46.666666666666664</v>
      </c>
      <c r="E17" s="5"/>
      <c r="F17" s="4">
        <f>((B17-D17)/D17*100)</f>
        <v>30.714285714285722</v>
      </c>
      <c r="G17" s="5"/>
    </row>
    <row r="18" spans="1:7" x14ac:dyDescent="0.35">
      <c r="A18" s="5" t="s">
        <v>61</v>
      </c>
      <c r="B18" s="4">
        <f>AVERAGE(59,61,61)</f>
        <v>60.333333333333336</v>
      </c>
      <c r="C18" s="8">
        <f>_xlfn.STDEV.P(B16:B18)</f>
        <v>1.2862041003100253</v>
      </c>
      <c r="D18" s="4">
        <f>AVERAGE(47,45,46)</f>
        <v>46</v>
      </c>
      <c r="E18" s="8">
        <f>_xlfn.STDEV.P(D16:D18)</f>
        <v>0.83147941928309832</v>
      </c>
      <c r="F18" s="4">
        <f>((B18-D18)/D18*100)</f>
        <v>31.159420289855078</v>
      </c>
      <c r="G18" s="8">
        <f>_xlfn.STDEV.P(F16:F18)</f>
        <v>0.50855986373743955</v>
      </c>
    </row>
    <row r="19" spans="1:7" x14ac:dyDescent="0.35">
      <c r="A19" s="5"/>
      <c r="B19" s="4"/>
      <c r="C19" s="5"/>
      <c r="D19" s="4"/>
      <c r="E19" s="5"/>
      <c r="F19" s="4"/>
      <c r="G19" s="5"/>
    </row>
    <row r="20" spans="1:7" x14ac:dyDescent="0.35">
      <c r="A20" s="2"/>
      <c r="B20" s="2"/>
      <c r="C20" s="2"/>
      <c r="D20" s="2"/>
      <c r="E20" s="2"/>
      <c r="F20" s="2"/>
      <c r="G20" s="2"/>
    </row>
    <row r="21" spans="1:7" ht="28.5" customHeight="1" x14ac:dyDescent="0.35">
      <c r="A21" s="17" t="s">
        <v>53</v>
      </c>
      <c r="B21" s="18" t="s">
        <v>68</v>
      </c>
      <c r="C21" s="17" t="s">
        <v>55</v>
      </c>
      <c r="D21" s="18" t="s">
        <v>69</v>
      </c>
      <c r="E21" s="17" t="s">
        <v>55</v>
      </c>
      <c r="F21" s="18" t="s">
        <v>70</v>
      </c>
      <c r="G21" s="17" t="s">
        <v>55</v>
      </c>
    </row>
    <row r="22" spans="1:7" x14ac:dyDescent="0.35">
      <c r="A22" s="5" t="s">
        <v>62</v>
      </c>
      <c r="B22" s="2">
        <f>43*40</f>
        <v>1720</v>
      </c>
      <c r="C22" s="9">
        <f>AVERAGE(B22:B24)</f>
        <v>1680.3333333333333</v>
      </c>
      <c r="D22" s="2">
        <f>36*36</f>
        <v>1296</v>
      </c>
      <c r="E22" s="9">
        <f>AVERAGE(D22:D24)</f>
        <v>1284</v>
      </c>
      <c r="F22" s="4">
        <f>((B22-D22)/D22)*100</f>
        <v>32.716049382716051</v>
      </c>
      <c r="G22" s="9">
        <f>AVERAGE(F22:F24)</f>
        <v>30.860523221634335</v>
      </c>
    </row>
    <row r="23" spans="1:7" x14ac:dyDescent="0.35">
      <c r="A23" s="5" t="s">
        <v>63</v>
      </c>
      <c r="B23" s="2">
        <f>41*40</f>
        <v>1640</v>
      </c>
      <c r="C23" s="5"/>
      <c r="D23" s="2">
        <f>36*35</f>
        <v>1260</v>
      </c>
      <c r="E23" s="5"/>
      <c r="F23" s="4">
        <f>((B23-D23)/D23)*100</f>
        <v>30.158730158730158</v>
      </c>
      <c r="G23" s="5"/>
    </row>
    <row r="24" spans="1:7" x14ac:dyDescent="0.35">
      <c r="A24" s="5" t="s">
        <v>64</v>
      </c>
      <c r="B24" s="2">
        <f>41*41</f>
        <v>1681</v>
      </c>
      <c r="C24" s="8">
        <f>_xlfn.STDEV.P(B22:B24)</f>
        <v>32.6632651290236</v>
      </c>
      <c r="D24" s="2">
        <f>36*36</f>
        <v>1296</v>
      </c>
      <c r="E24" s="8">
        <f>_xlfn.STDEV.P(D22:D24)</f>
        <v>16.970562748477139</v>
      </c>
      <c r="F24" s="4">
        <f>((B24-D24)/D24)*100</f>
        <v>29.706790123456788</v>
      </c>
      <c r="G24" s="8">
        <f>_xlfn.STDEV.P(F22:F24)</f>
        <v>1.3249642635972534</v>
      </c>
    </row>
    <row r="25" spans="1:7" x14ac:dyDescent="0.35">
      <c r="A25" s="5"/>
      <c r="B25" s="2"/>
      <c r="C25" s="5"/>
      <c r="D25" s="2"/>
      <c r="E25" s="5"/>
      <c r="F25" s="4"/>
      <c r="G25" s="5"/>
    </row>
    <row r="26" spans="1:7" x14ac:dyDescent="0.35">
      <c r="A26" s="5" t="s">
        <v>59</v>
      </c>
      <c r="B26" s="2">
        <f>42*43</f>
        <v>1806</v>
      </c>
      <c r="C26" s="9">
        <f>AVERAGE(B26:B28)</f>
        <v>1834</v>
      </c>
      <c r="D26" s="2">
        <f>35*38</f>
        <v>1330</v>
      </c>
      <c r="E26" s="9">
        <f>AVERAGE(D26:D28)</f>
        <v>1330</v>
      </c>
      <c r="F26" s="4">
        <f>((B26-D26)/D26)*100</f>
        <v>35.789473684210527</v>
      </c>
      <c r="G26" s="9">
        <f>AVERAGE(F26:F28)</f>
        <v>37.907350074532737</v>
      </c>
    </row>
    <row r="27" spans="1:7" x14ac:dyDescent="0.35">
      <c r="A27" s="5" t="s">
        <v>60</v>
      </c>
      <c r="B27" s="2">
        <f>44*41</f>
        <v>1804</v>
      </c>
      <c r="C27" s="5"/>
      <c r="D27" s="2">
        <f>34*38</f>
        <v>1292</v>
      </c>
      <c r="E27" s="5"/>
      <c r="F27" s="4">
        <f>((B27-D27)/D27)*100</f>
        <v>39.628482972136226</v>
      </c>
      <c r="G27" s="5"/>
    </row>
    <row r="28" spans="1:7" x14ac:dyDescent="0.35">
      <c r="A28" s="5" t="s">
        <v>61</v>
      </c>
      <c r="B28" s="2">
        <f>43*44</f>
        <v>1892</v>
      </c>
      <c r="C28" s="8">
        <f>_xlfn.STDEV.P(B26:B28)</f>
        <v>41.020320167773761</v>
      </c>
      <c r="D28" s="2">
        <f>38*36</f>
        <v>1368</v>
      </c>
      <c r="E28" s="8">
        <f>_xlfn.STDEV.P(D26:D28)</f>
        <v>31.026870075253587</v>
      </c>
      <c r="F28" s="4">
        <f>((B28-D28)/D28)*100</f>
        <v>38.304093567251464</v>
      </c>
      <c r="G28" s="8">
        <f>_xlfn.STDEV.P(F26:F28)</f>
        <v>1.592179246076675</v>
      </c>
    </row>
    <row r="29" spans="1:7" x14ac:dyDescent="0.35">
      <c r="A29" s="5"/>
      <c r="B29" s="2"/>
      <c r="C29" s="5"/>
      <c r="D29" s="2"/>
      <c r="E29" s="5"/>
      <c r="F29" s="4"/>
      <c r="G29" s="5"/>
    </row>
    <row r="30" spans="1:7" x14ac:dyDescent="0.35">
      <c r="A30" s="2"/>
      <c r="B30" s="2"/>
      <c r="C30" s="2"/>
      <c r="D30" s="2"/>
      <c r="E30" s="2"/>
      <c r="F30" s="2"/>
      <c r="G30" s="2"/>
    </row>
    <row r="31" spans="1:7" ht="30" customHeight="1" x14ac:dyDescent="0.35">
      <c r="A31" s="17" t="s">
        <v>53</v>
      </c>
      <c r="B31" s="18" t="s">
        <v>71</v>
      </c>
      <c r="C31" s="17" t="s">
        <v>55</v>
      </c>
      <c r="D31" s="18" t="s">
        <v>72</v>
      </c>
      <c r="E31" s="17" t="s">
        <v>55</v>
      </c>
      <c r="F31" s="18" t="s">
        <v>73</v>
      </c>
      <c r="G31" s="17" t="s">
        <v>55</v>
      </c>
    </row>
    <row r="32" spans="1:7" x14ac:dyDescent="0.35">
      <c r="A32" s="5" t="s">
        <v>62</v>
      </c>
      <c r="B32" s="13">
        <v>0.10929999999999999</v>
      </c>
      <c r="C32" s="10">
        <f>AVERAGE(B32:B34)</f>
        <v>0.10546666666666667</v>
      </c>
      <c r="D32" s="2">
        <v>7.5700000000000003E-2</v>
      </c>
      <c r="E32" s="10">
        <f>AVERAGE(D32:D34)</f>
        <v>7.1599999999999997E-2</v>
      </c>
      <c r="F32" s="4">
        <f>((B32-D32)/D32)*100</f>
        <v>44.385733157199461</v>
      </c>
      <c r="G32" s="9">
        <f>AVERAGE(F32:F34)</f>
        <v>47.360001084678238</v>
      </c>
    </row>
    <row r="33" spans="1:7" x14ac:dyDescent="0.35">
      <c r="A33" s="5" t="s">
        <v>63</v>
      </c>
      <c r="B33" s="13">
        <v>0.1094</v>
      </c>
      <c r="C33" s="11"/>
      <c r="D33" s="2">
        <v>6.9900000000000004E-2</v>
      </c>
      <c r="E33" s="11"/>
      <c r="F33" s="4">
        <f>((B33-D33)/D33)*100</f>
        <v>56.509298998569371</v>
      </c>
      <c r="G33" s="5"/>
    </row>
    <row r="34" spans="1:7" x14ac:dyDescent="0.35">
      <c r="A34" s="5" t="s">
        <v>64</v>
      </c>
      <c r="B34" s="13">
        <v>9.7699999999999995E-2</v>
      </c>
      <c r="C34" s="12">
        <f>_xlfn.STDEV.P(B32:B34)</f>
        <v>5.4920144047719156E-3</v>
      </c>
      <c r="D34" s="2">
        <v>6.9199999999999998E-2</v>
      </c>
      <c r="E34" s="12">
        <f>_xlfn.STDEV.P(D32:D34)</f>
        <v>2.91318840219212E-3</v>
      </c>
      <c r="F34" s="4">
        <f>((B34-D34)/D34)*100</f>
        <v>41.184971098265891</v>
      </c>
      <c r="G34" s="8">
        <f>_xlfn.STDEV.P(F32:F34)</f>
        <v>6.6001746783614825</v>
      </c>
    </row>
    <row r="35" spans="1:7" x14ac:dyDescent="0.35">
      <c r="A35" s="5"/>
      <c r="B35" s="14"/>
      <c r="C35" s="11"/>
      <c r="D35" s="2"/>
      <c r="E35" s="11"/>
      <c r="F35" s="4"/>
      <c r="G35" s="5"/>
    </row>
    <row r="36" spans="1:7" x14ac:dyDescent="0.35">
      <c r="A36" s="5" t="s">
        <v>59</v>
      </c>
      <c r="B36" s="13">
        <v>0.12470000000000001</v>
      </c>
      <c r="C36" s="10">
        <f>AVERAGE(B36:B38)</f>
        <v>0.12236666666666667</v>
      </c>
      <c r="D36" s="2">
        <v>8.3699999999999997E-2</v>
      </c>
      <c r="E36" s="10">
        <f>AVERAGE(D36:D38)</f>
        <v>8.1400000000000014E-2</v>
      </c>
      <c r="F36" s="4">
        <f>((B36-D36)/D36)*100</f>
        <v>48.984468339307064</v>
      </c>
      <c r="G36" s="9">
        <f>AVERAGE(F36:F38)</f>
        <v>50.24657103151727</v>
      </c>
    </row>
    <row r="37" spans="1:7" x14ac:dyDescent="0.35">
      <c r="A37" s="5" t="s">
        <v>60</v>
      </c>
      <c r="B37" s="13">
        <v>0.1135</v>
      </c>
      <c r="C37" s="11"/>
      <c r="D37" s="2">
        <v>7.8E-2</v>
      </c>
      <c r="E37" s="11"/>
      <c r="F37" s="4">
        <f>((B37-D37)/D37)*100</f>
        <v>45.512820512820518</v>
      </c>
      <c r="G37" s="5"/>
    </row>
    <row r="38" spans="1:7" x14ac:dyDescent="0.35">
      <c r="A38" s="5" t="s">
        <v>61</v>
      </c>
      <c r="B38" s="13">
        <v>0.12889999999999999</v>
      </c>
      <c r="C38" s="12">
        <f>_xlfn.STDEV.P(B36:B38)</f>
        <v>6.4999145293525833E-3</v>
      </c>
      <c r="D38" s="2">
        <v>8.2500000000000004E-2</v>
      </c>
      <c r="E38" s="12">
        <f>_xlfn.STDEV.P(D36:D38)</f>
        <v>2.4535688292770591E-3</v>
      </c>
      <c r="F38" s="4">
        <f>((B38-D38)/D38)*100</f>
        <v>56.242424242424214</v>
      </c>
      <c r="G38" s="8">
        <f>_xlfn.STDEV.P(F36:F38)</f>
        <v>4.4703300737823648</v>
      </c>
    </row>
    <row r="39" spans="1:7" x14ac:dyDescent="0.35">
      <c r="A39" s="5"/>
      <c r="B39" s="14"/>
      <c r="C39" s="11"/>
      <c r="D39" s="2"/>
      <c r="E39" s="11"/>
      <c r="F39" s="4"/>
      <c r="G39" s="5"/>
    </row>
    <row r="40" spans="1:7" x14ac:dyDescent="0.35">
      <c r="A40" s="2"/>
      <c r="B40" s="2"/>
      <c r="C40" s="2"/>
      <c r="D40" s="2"/>
      <c r="E40" s="2"/>
      <c r="F40" s="2"/>
      <c r="G40" s="2"/>
    </row>
    <row r="41" spans="1:7" x14ac:dyDescent="0.35">
      <c r="A41" s="2"/>
      <c r="B41" s="2"/>
      <c r="C41" s="2"/>
      <c r="D41" s="2"/>
      <c r="E41" s="2"/>
      <c r="F41" s="2"/>
      <c r="G41" s="2"/>
    </row>
  </sheetData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2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3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17A4AD69321084419BAA96600A6F14BC" ma:contentTypeVersion="19" ma:contentTypeDescription="This is a standard document content type for all documents." ma:contentTypeScope="" ma:versionID="2065270ee000c5b368e48d0854f1f3d9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88DAA2-6139-4A74-8E8D-FB5E6A5E3618}">
  <ds:schemaRefs>
    <ds:schemaRef ds:uri="office.server.policy"/>
  </ds:schemaRefs>
</ds:datastoreItem>
</file>

<file path=customXml/itemProps2.xml><?xml version="1.0" encoding="utf-8"?>
<ds:datastoreItem xmlns:ds="http://schemas.openxmlformats.org/officeDocument/2006/customXml" ds:itemID="{F2CFA8F1-EEE6-4EE6-9765-35B144AAEA73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4CF240A-7553-4E56-95DF-F44320E4FF5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E6D5B14-6B38-4A77-8C48-CD854585A580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D696467E-87FB-4353-ABB8-0917E2A9C3D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6.xml><?xml version="1.0" encoding="utf-8"?>
<ds:datastoreItem xmlns:ds="http://schemas.openxmlformats.org/officeDocument/2006/customXml" ds:itemID="{18EDD0A6-999E-4433-8088-7C6A95CC07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MPIP </vt:lpstr>
      <vt:lpstr>MPIP-B2</vt:lpstr>
      <vt:lpstr>MPY-ESI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willson</dc:creator>
  <cp:keywords/>
  <dc:description/>
  <cp:lastModifiedBy>John Varcoe</cp:lastModifiedBy>
  <cp:revision/>
  <dcterms:created xsi:type="dcterms:W3CDTF">2020-06-11T16:33:15Z</dcterms:created>
  <dcterms:modified xsi:type="dcterms:W3CDTF">2021-12-06T11:01:30Z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0x0101001B07A1DDF6AAA34A82D05EFFC6607E2E0017A4AD69321084419BAA96600A6F14BC</vt:lpwstr>
  </property>
</Properties>
</file>