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693" activeTab="6"/>
  </bookViews>
  <sheets>
    <sheet name="Fan Level 0" sheetId="1" r:id="rId1"/>
    <sheet name="Fan Level 1" sheetId="5" r:id="rId2"/>
    <sheet name="Fan Level 2" sheetId="3" r:id="rId3"/>
    <sheet name="Fan Level 3" sheetId="4" r:id="rId4"/>
    <sheet name="Fan Level 4" sheetId="6" r:id="rId5"/>
    <sheet name="Fan Level 5" sheetId="2" r:id="rId6"/>
    <sheet name="Heat Budget" sheetId="7" r:id="rId7"/>
    <sheet name="Evap Rate Prediction" sheetId="8" r:id="rId8"/>
  </sheets>
  <calcPr calcId="145621"/>
</workbook>
</file>

<file path=xl/calcChain.xml><?xml version="1.0" encoding="utf-8"?>
<calcChain xmlns="http://schemas.openxmlformats.org/spreadsheetml/2006/main">
  <c r="K4" i="7" l="1"/>
  <c r="K5" i="7"/>
  <c r="K6" i="7"/>
  <c r="K7" i="7"/>
  <c r="K8" i="7"/>
  <c r="K3" i="7"/>
  <c r="C4" i="7"/>
  <c r="C5" i="7"/>
  <c r="C6" i="7"/>
  <c r="C7" i="7"/>
  <c r="C8" i="7"/>
  <c r="C3" i="7"/>
  <c r="I3" i="8" l="1"/>
  <c r="I4" i="8"/>
  <c r="I5" i="8"/>
  <c r="I6" i="8"/>
  <c r="I7" i="8"/>
  <c r="M3" i="8"/>
  <c r="M4" i="8"/>
  <c r="M5" i="8"/>
  <c r="M6" i="8"/>
  <c r="M7" i="8"/>
  <c r="M2" i="8"/>
  <c r="L3" i="8"/>
  <c r="L4" i="8"/>
  <c r="L5" i="8"/>
  <c r="L6" i="8"/>
  <c r="L7" i="8"/>
  <c r="L2" i="8"/>
  <c r="D3" i="8" l="1"/>
  <c r="D4" i="8"/>
  <c r="D5" i="8"/>
  <c r="D6" i="8"/>
  <c r="D7" i="8"/>
  <c r="E3" i="8"/>
  <c r="E4" i="8"/>
  <c r="E5" i="8"/>
  <c r="E6" i="8"/>
  <c r="E7" i="8"/>
  <c r="E2" i="8"/>
  <c r="D2" i="8"/>
  <c r="K3" i="8" l="1"/>
  <c r="N3" i="8" s="1"/>
  <c r="O3" i="8" s="1"/>
  <c r="K4" i="8"/>
  <c r="N4" i="8" s="1"/>
  <c r="O4" i="8" s="1"/>
  <c r="K5" i="8"/>
  <c r="N5" i="8" s="1"/>
  <c r="O5" i="8" s="1"/>
  <c r="K6" i="8"/>
  <c r="N6" i="8" s="1"/>
  <c r="O6" i="8" s="1"/>
  <c r="K7" i="8"/>
  <c r="N7" i="8" s="1"/>
  <c r="O7" i="8" s="1"/>
  <c r="K2" i="8"/>
  <c r="N2" i="8" s="1"/>
  <c r="O2" i="8" s="1"/>
  <c r="H7" i="8"/>
  <c r="H6" i="8"/>
  <c r="H5" i="8"/>
  <c r="H4" i="8"/>
  <c r="H3" i="8"/>
  <c r="H2" i="8"/>
  <c r="O4" i="7" l="1"/>
  <c r="O5" i="7"/>
  <c r="O6" i="7"/>
  <c r="O7" i="7"/>
  <c r="O8" i="7"/>
  <c r="J6" i="7" l="1"/>
  <c r="M6" i="7"/>
  <c r="F6" i="7"/>
  <c r="G6" i="7"/>
  <c r="H6" i="7" s="1"/>
  <c r="L11" i="4"/>
  <c r="L11" i="2"/>
  <c r="F8" i="7"/>
  <c r="G8" i="7" s="1"/>
  <c r="H8" i="7" s="1"/>
  <c r="J8" i="7"/>
  <c r="M8" i="7"/>
  <c r="L11" i="6"/>
  <c r="L11" i="3"/>
  <c r="F5" i="7"/>
  <c r="G5" i="7" s="1"/>
  <c r="H5" i="7" s="1"/>
  <c r="J5" i="7"/>
  <c r="M5" i="7"/>
  <c r="H4" i="7"/>
  <c r="L11" i="5"/>
  <c r="F4" i="7"/>
  <c r="G4" i="7" s="1"/>
  <c r="J4" i="7"/>
  <c r="M4" i="7"/>
  <c r="L11" i="1"/>
  <c r="M3" i="7"/>
  <c r="J3" i="7"/>
  <c r="F3" i="7"/>
  <c r="G3" i="7" s="1"/>
  <c r="L6" i="7" l="1"/>
  <c r="L8" i="7"/>
  <c r="L5" i="7"/>
  <c r="L4" i="7"/>
  <c r="L3" i="7"/>
  <c r="J4" i="2"/>
  <c r="J5" i="2"/>
  <c r="J6" i="2"/>
  <c r="J7" i="2"/>
  <c r="J8" i="2"/>
  <c r="J9" i="2"/>
  <c r="J3" i="2"/>
  <c r="J4" i="6"/>
  <c r="J5" i="6"/>
  <c r="J6" i="6"/>
  <c r="J7" i="6"/>
  <c r="J8" i="6"/>
  <c r="J9" i="6"/>
  <c r="J3" i="6"/>
  <c r="J4" i="4"/>
  <c r="J5" i="4"/>
  <c r="J6" i="4"/>
  <c r="J7" i="4"/>
  <c r="J8" i="4"/>
  <c r="J9" i="4"/>
  <c r="J3" i="4"/>
  <c r="J4" i="3"/>
  <c r="J5" i="3"/>
  <c r="J6" i="3"/>
  <c r="J7" i="3"/>
  <c r="J8" i="3"/>
  <c r="J9" i="3"/>
  <c r="J3" i="3"/>
  <c r="J4" i="5"/>
  <c r="J5" i="5"/>
  <c r="J6" i="5"/>
  <c r="J7" i="5"/>
  <c r="J8" i="5"/>
  <c r="J9" i="5"/>
  <c r="J3" i="5"/>
  <c r="M7" i="7"/>
  <c r="J7" i="7"/>
  <c r="F7" i="7"/>
  <c r="G7" i="7" s="1"/>
  <c r="H7" i="7" s="1"/>
  <c r="L7" i="7" l="1"/>
  <c r="D11" i="5"/>
  <c r="D11" i="3"/>
  <c r="D11" i="4"/>
  <c r="D11" i="6"/>
  <c r="H11" i="2" l="1"/>
  <c r="D11" i="1"/>
  <c r="D11" i="2"/>
  <c r="D9" i="1"/>
  <c r="F9" i="1" s="1"/>
  <c r="H9" i="1" s="1"/>
  <c r="O9" i="1" s="1"/>
  <c r="D8" i="1"/>
  <c r="F8" i="1" s="1"/>
  <c r="H8" i="1" s="1"/>
  <c r="O8" i="1" s="1"/>
  <c r="D7" i="1"/>
  <c r="F7" i="1" s="1"/>
  <c r="H7" i="1" s="1"/>
  <c r="O7" i="1" s="1"/>
  <c r="D6" i="1"/>
  <c r="F6" i="1" s="1"/>
  <c r="H6" i="1" s="1"/>
  <c r="O6" i="1" s="1"/>
  <c r="D5" i="1"/>
  <c r="F5" i="1" s="1"/>
  <c r="H5" i="1" s="1"/>
  <c r="O5" i="1" s="1"/>
  <c r="D4" i="1"/>
  <c r="F4" i="1" s="1"/>
  <c r="H4" i="1" s="1"/>
  <c r="O4" i="1" s="1"/>
  <c r="D9" i="5"/>
  <c r="F9" i="5" s="1"/>
  <c r="H9" i="5" s="1"/>
  <c r="D8" i="5"/>
  <c r="F8" i="5" s="1"/>
  <c r="H8" i="5" s="1"/>
  <c r="D7" i="5"/>
  <c r="F7" i="5" s="1"/>
  <c r="H7" i="5" s="1"/>
  <c r="D6" i="5"/>
  <c r="F6" i="5" s="1"/>
  <c r="H6" i="5" s="1"/>
  <c r="D5" i="5"/>
  <c r="F5" i="5" s="1"/>
  <c r="H5" i="5" s="1"/>
  <c r="D4" i="5"/>
  <c r="F4" i="5" s="1"/>
  <c r="H4" i="5" s="1"/>
  <c r="D9" i="4"/>
  <c r="F9" i="4" s="1"/>
  <c r="H9" i="4" s="1"/>
  <c r="D8" i="4"/>
  <c r="F8" i="4" s="1"/>
  <c r="H8" i="4" s="1"/>
  <c r="D7" i="4"/>
  <c r="F7" i="4" s="1"/>
  <c r="H7" i="4" s="1"/>
  <c r="D6" i="4"/>
  <c r="F6" i="4" s="1"/>
  <c r="H6" i="4" s="1"/>
  <c r="D5" i="4"/>
  <c r="F5" i="4" s="1"/>
  <c r="H5" i="4" s="1"/>
  <c r="D4" i="4"/>
  <c r="F4" i="4" s="1"/>
  <c r="H4" i="4" s="1"/>
  <c r="H11" i="4" s="1"/>
  <c r="F9" i="3"/>
  <c r="H9" i="3" s="1"/>
  <c r="D9" i="3"/>
  <c r="D8" i="3"/>
  <c r="F8" i="3" s="1"/>
  <c r="H8" i="3" s="1"/>
  <c r="D7" i="3"/>
  <c r="F7" i="3" s="1"/>
  <c r="H7" i="3" s="1"/>
  <c r="D6" i="3"/>
  <c r="F6" i="3" s="1"/>
  <c r="H6" i="3" s="1"/>
  <c r="D5" i="3"/>
  <c r="F5" i="3" s="1"/>
  <c r="H5" i="3" s="1"/>
  <c r="D4" i="3"/>
  <c r="F4" i="3" s="1"/>
  <c r="H4" i="3" s="1"/>
  <c r="D9" i="2"/>
  <c r="F9" i="2" s="1"/>
  <c r="H9" i="2" s="1"/>
  <c r="D8" i="2"/>
  <c r="F8" i="2" s="1"/>
  <c r="H8" i="2" s="1"/>
  <c r="D7" i="2"/>
  <c r="F7" i="2" s="1"/>
  <c r="H7" i="2" s="1"/>
  <c r="D6" i="2"/>
  <c r="F6" i="2" s="1"/>
  <c r="H6" i="2" s="1"/>
  <c r="D5" i="2"/>
  <c r="F5" i="2" s="1"/>
  <c r="H5" i="2" s="1"/>
  <c r="D4" i="2"/>
  <c r="F4" i="2" s="1"/>
  <c r="H4" i="2" s="1"/>
  <c r="D5" i="6"/>
  <c r="F5" i="6" s="1"/>
  <c r="H5" i="6" s="1"/>
  <c r="D6" i="6"/>
  <c r="F6" i="6" s="1"/>
  <c r="H6" i="6" s="1"/>
  <c r="D7" i="6"/>
  <c r="F7" i="6" s="1"/>
  <c r="H7" i="6" s="1"/>
  <c r="D8" i="6"/>
  <c r="F8" i="6" s="1"/>
  <c r="H8" i="6" s="1"/>
  <c r="D9" i="6"/>
  <c r="F9" i="6" s="1"/>
  <c r="H9" i="6" s="1"/>
  <c r="D4" i="6"/>
  <c r="F4" i="6" s="1"/>
  <c r="H4" i="6" s="1"/>
  <c r="H11" i="6" s="1"/>
  <c r="H11" i="3" l="1"/>
  <c r="H11" i="5"/>
  <c r="O11" i="1"/>
  <c r="H11" i="1"/>
</calcChain>
</file>

<file path=xl/sharedStrings.xml><?xml version="1.0" encoding="utf-8"?>
<sst xmlns="http://schemas.openxmlformats.org/spreadsheetml/2006/main" count="298" uniqueCount="96">
  <si>
    <t>Time taken</t>
  </si>
  <si>
    <t>Incremental Time</t>
  </si>
  <si>
    <t>Meniscus Speed</t>
  </si>
  <si>
    <t>(sec)</t>
  </si>
  <si>
    <t>(mm^2)</t>
  </si>
  <si>
    <t>(mm/s)</t>
  </si>
  <si>
    <t>(mm/day)</t>
  </si>
  <si>
    <t>Meaning</t>
  </si>
  <si>
    <t>Bottom most</t>
  </si>
  <si>
    <t>5 mm above '0'</t>
  </si>
  <si>
    <t>10 mm above '0'</t>
  </si>
  <si>
    <t>15 mm above '0'</t>
  </si>
  <si>
    <t>20 mm above '0'</t>
  </si>
  <si>
    <t>25 mm above '0'</t>
  </si>
  <si>
    <t>30 mm above '0'</t>
  </si>
  <si>
    <t>Amb. Temp.</t>
  </si>
  <si>
    <t>(^0C)</t>
  </si>
  <si>
    <t>(%)</t>
  </si>
  <si>
    <t>Average</t>
  </si>
  <si>
    <t>Location</t>
  </si>
  <si>
    <t>Cap Area</t>
  </si>
  <si>
    <t>FP Area</t>
  </si>
  <si>
    <t>Evap Rate</t>
  </si>
  <si>
    <t>Temp. Var.</t>
  </si>
  <si>
    <t>Avg. Temp.</t>
  </si>
  <si>
    <t>Avg. RH</t>
  </si>
  <si>
    <t>Wind Speed</t>
  </si>
  <si>
    <t>(km/h)</t>
  </si>
  <si>
    <t>(m/s)</t>
  </si>
  <si>
    <t>Actual Evap Rate</t>
  </si>
  <si>
    <t xml:space="preserve"> </t>
  </si>
  <si>
    <t>&lt;T_s&gt;</t>
  </si>
  <si>
    <t>&lt;T_a&gt;</t>
  </si>
  <si>
    <t>&lt;U&gt;</t>
  </si>
  <si>
    <t>L</t>
  </si>
  <si>
    <t>Re</t>
  </si>
  <si>
    <t>&lt;Nu_x&gt;</t>
  </si>
  <si>
    <t>I_rad</t>
  </si>
  <si>
    <t>I_conv</t>
  </si>
  <si>
    <t>E_s</t>
  </si>
  <si>
    <t>I_lat</t>
  </si>
  <si>
    <t>(0C)</t>
  </si>
  <si>
    <t>(W/m^2-K)</t>
  </si>
  <si>
    <t>(W/m^2)</t>
  </si>
  <si>
    <t>(m)</t>
  </si>
  <si>
    <t>26.21/26.13</t>
  </si>
  <si>
    <t>26.23/26.13</t>
  </si>
  <si>
    <t>26.23/26.17</t>
  </si>
  <si>
    <t>26.32/26.18</t>
  </si>
  <si>
    <t>26.41/26.15</t>
  </si>
  <si>
    <t>26.30/26.14</t>
  </si>
  <si>
    <t>26.36/26.32</t>
  </si>
  <si>
    <t>25.05/25.03</t>
  </si>
  <si>
    <t>25.03/25.05</t>
  </si>
  <si>
    <t>25.05/25.05</t>
  </si>
  <si>
    <t>25.03/25.03</t>
  </si>
  <si>
    <t>25.04/25.06</t>
  </si>
  <si>
    <t>26.45/26.17</t>
  </si>
  <si>
    <t>26.17/25.87</t>
  </si>
  <si>
    <t>25.87/25.75</t>
  </si>
  <si>
    <t>25.75/25.69</t>
  </si>
  <si>
    <t>25.68/25.58</t>
  </si>
  <si>
    <t>25.58/25.56</t>
  </si>
  <si>
    <t>25.56/25.5</t>
  </si>
  <si>
    <t>25.16/25.14</t>
  </si>
  <si>
    <t>25.13/25.07</t>
  </si>
  <si>
    <t>25.06/25.00</t>
  </si>
  <si>
    <t>25.00/24.96</t>
  </si>
  <si>
    <t>24.96/24.94</t>
  </si>
  <si>
    <t>24.94/24.94</t>
  </si>
  <si>
    <t>24.94/24.95</t>
  </si>
  <si>
    <t>24.78/24.72</t>
  </si>
  <si>
    <t>24.72/24.76</t>
  </si>
  <si>
    <t>24.77/24.69</t>
  </si>
  <si>
    <t>24.69/24.67</t>
  </si>
  <si>
    <t>24.68/24.68</t>
  </si>
  <si>
    <t>24.68/24.74</t>
  </si>
  <si>
    <t>24.74/24.68</t>
  </si>
  <si>
    <t>&lt;h_x&gt; / h</t>
  </si>
  <si>
    <t xml:space="preserve">Average </t>
  </si>
  <si>
    <t>I_rad + I_conv</t>
  </si>
  <si>
    <t>dT</t>
  </si>
  <si>
    <t>&lt;RH&gt;</t>
  </si>
  <si>
    <t>delta_v</t>
  </si>
  <si>
    <t>(mm)</t>
  </si>
  <si>
    <t>Delta_a</t>
  </si>
  <si>
    <t>&lt;U_a&gt;</t>
  </si>
  <si>
    <t>e_s</t>
  </si>
  <si>
    <t>RH</t>
  </si>
  <si>
    <t>D_wv</t>
  </si>
  <si>
    <t>r_a</t>
  </si>
  <si>
    <t>(RH)*e_a</t>
  </si>
  <si>
    <t>C_s</t>
  </si>
  <si>
    <t>C_a</t>
  </si>
  <si>
    <t>E_w</t>
  </si>
  <si>
    <t>E_w (mm/day)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</si>
</sst>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'Heat Budget'!$C$3:$C$8</c:f>
              <c:numCache>
                <c:formatCode>General</c:formatCode>
                <c:ptCount val="6"/>
                <c:pt idx="0">
                  <c:v>-1.8100000000000023</c:v>
                </c:pt>
                <c:pt idx="1">
                  <c:v>-2.120000000000001</c:v>
                </c:pt>
                <c:pt idx="2">
                  <c:v>-2.3599999999999994</c:v>
                </c:pt>
                <c:pt idx="3">
                  <c:v>-3.1500000000000021</c:v>
                </c:pt>
                <c:pt idx="4">
                  <c:v>-3.16</c:v>
                </c:pt>
                <c:pt idx="5">
                  <c:v>-3.4399999999999977</c:v>
                </c:pt>
              </c:numCache>
            </c:numRef>
          </c:xVal>
          <c:yVal>
            <c:numRef>
              <c:f>'Heat Budget'!$I$3:$I$8</c:f>
              <c:numCache>
                <c:formatCode>General</c:formatCode>
                <c:ptCount val="6"/>
                <c:pt idx="0">
                  <c:v>4.6100000000000003</c:v>
                </c:pt>
                <c:pt idx="1">
                  <c:v>9.14</c:v>
                </c:pt>
                <c:pt idx="2">
                  <c:v>10.45</c:v>
                </c:pt>
                <c:pt idx="3">
                  <c:v>11.4</c:v>
                </c:pt>
                <c:pt idx="4">
                  <c:v>14.09</c:v>
                </c:pt>
                <c:pt idx="5">
                  <c:v>13.46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99264"/>
        <c:axId val="253100032"/>
      </c:scatterChart>
      <c:valAx>
        <c:axId val="156499264"/>
        <c:scaling>
          <c:orientation val="minMax"/>
          <c:max val="-1.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T_s - T_a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3100032"/>
        <c:crosses val="autoZero"/>
        <c:crossBetween val="midCat"/>
      </c:valAx>
      <c:valAx>
        <c:axId val="253100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156499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'Heat Budget'!$A$3:$A$8</c:f>
              <c:numCache>
                <c:formatCode>General</c:formatCode>
                <c:ptCount val="6"/>
                <c:pt idx="0">
                  <c:v>26.24</c:v>
                </c:pt>
                <c:pt idx="1">
                  <c:v>25.99</c:v>
                </c:pt>
                <c:pt idx="2">
                  <c:v>25.8</c:v>
                </c:pt>
                <c:pt idx="3">
                  <c:v>25.04</c:v>
                </c:pt>
                <c:pt idx="4">
                  <c:v>25.01</c:v>
                </c:pt>
                <c:pt idx="5">
                  <c:v>24.71</c:v>
                </c:pt>
              </c:numCache>
            </c:numRef>
          </c:xVal>
          <c:yVal>
            <c:numRef>
              <c:f>'Heat Budget'!$I$3:$I$8</c:f>
              <c:numCache>
                <c:formatCode>General</c:formatCode>
                <c:ptCount val="6"/>
                <c:pt idx="0">
                  <c:v>4.6100000000000003</c:v>
                </c:pt>
                <c:pt idx="1">
                  <c:v>9.14</c:v>
                </c:pt>
                <c:pt idx="2">
                  <c:v>10.45</c:v>
                </c:pt>
                <c:pt idx="3">
                  <c:v>11.4</c:v>
                </c:pt>
                <c:pt idx="4">
                  <c:v>14.09</c:v>
                </c:pt>
                <c:pt idx="5">
                  <c:v>13.46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101760"/>
        <c:axId val="253102336"/>
      </c:scatterChart>
      <c:valAx>
        <c:axId val="2531017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53102336"/>
        <c:crosses val="autoZero"/>
        <c:crossBetween val="midCat"/>
      </c:valAx>
      <c:valAx>
        <c:axId val="25310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3101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9</xdr:row>
      <xdr:rowOff>119062</xdr:rowOff>
    </xdr:from>
    <xdr:to>
      <xdr:col>16</xdr:col>
      <xdr:colOff>590550</xdr:colOff>
      <xdr:row>24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9</xdr:row>
      <xdr:rowOff>119062</xdr:rowOff>
    </xdr:from>
    <xdr:to>
      <xdr:col>9</xdr:col>
      <xdr:colOff>152400</xdr:colOff>
      <xdr:row>24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8.28515625" style="1" bestFit="1" customWidth="1"/>
    <col min="8" max="8" width="12" style="1" bestFit="1" customWidth="1"/>
    <col min="9" max="10" width="11.7109375" style="1" bestFit="1" customWidth="1"/>
    <col min="11" max="11" width="11" style="1" bestFit="1" customWidth="1"/>
    <col min="12" max="12" width="10.85546875" style="1" bestFit="1" customWidth="1"/>
    <col min="13" max="13" width="11.7109375" style="1" bestFit="1" customWidth="1"/>
    <col min="14" max="14" width="7.7109375" style="1" bestFit="1" customWidth="1"/>
    <col min="15" max="15" width="15.7109375" style="1" bestFit="1" customWidth="1"/>
    <col min="16" max="16384" width="9.140625" style="1"/>
  </cols>
  <sheetData>
    <row r="1" spans="1:15" customFormat="1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26</v>
      </c>
      <c r="J1" s="1" t="s">
        <v>26</v>
      </c>
      <c r="K1" s="1" t="s">
        <v>23</v>
      </c>
      <c r="L1" s="1" t="s">
        <v>24</v>
      </c>
      <c r="M1" s="1" t="s">
        <v>15</v>
      </c>
      <c r="N1" s="1" t="s">
        <v>25</v>
      </c>
      <c r="O1" s="1" t="s">
        <v>29</v>
      </c>
    </row>
    <row r="2" spans="1:15" customFormat="1" x14ac:dyDescent="0.25">
      <c r="A2" s="1"/>
      <c r="B2" s="1"/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27</v>
      </c>
      <c r="J2" s="1" t="s">
        <v>28</v>
      </c>
      <c r="K2" s="1" t="s">
        <v>16</v>
      </c>
      <c r="L2" s="1" t="s">
        <v>16</v>
      </c>
      <c r="M2" s="1" t="s">
        <v>16</v>
      </c>
      <c r="N2" s="1" t="s">
        <v>17</v>
      </c>
      <c r="O2" s="1" t="s">
        <v>6</v>
      </c>
    </row>
    <row r="3" spans="1:15" x14ac:dyDescent="0.25">
      <c r="A3" s="1">
        <v>0</v>
      </c>
      <c r="B3" s="1" t="s">
        <v>8</v>
      </c>
      <c r="C3" s="1">
        <v>25</v>
      </c>
      <c r="E3" s="1">
        <v>0.254</v>
      </c>
      <c r="G3" s="1">
        <v>400</v>
      </c>
      <c r="I3" s="1">
        <v>0</v>
      </c>
      <c r="J3" s="1">
        <v>0</v>
      </c>
      <c r="K3" s="1" t="s">
        <v>45</v>
      </c>
      <c r="L3" s="1">
        <v>26.17</v>
      </c>
    </row>
    <row r="4" spans="1:15" x14ac:dyDescent="0.25">
      <c r="A4" s="1">
        <v>1</v>
      </c>
      <c r="B4" s="1" t="s">
        <v>9</v>
      </c>
      <c r="C4" s="1">
        <v>83</v>
      </c>
      <c r="D4" s="1">
        <f>C4-C3</f>
        <v>58</v>
      </c>
      <c r="E4" s="1">
        <v>0.254</v>
      </c>
      <c r="F4" s="1">
        <f>5/D4</f>
        <v>8.6206896551724144E-2</v>
      </c>
      <c r="G4" s="1">
        <v>400</v>
      </c>
      <c r="H4" s="1">
        <f>F4*86400*E4/G4</f>
        <v>4.7296551724137927</v>
      </c>
      <c r="I4" s="1">
        <v>0</v>
      </c>
      <c r="J4" s="1">
        <v>0</v>
      </c>
      <c r="K4" s="1" t="s">
        <v>46</v>
      </c>
      <c r="L4" s="1">
        <v>26.18</v>
      </c>
      <c r="O4" s="1">
        <f>H4*400/(400+4*0.18*20+PI()*0.25*(5.6^2-5.44^2))</f>
        <v>4.5500715021275528</v>
      </c>
    </row>
    <row r="5" spans="1:15" x14ac:dyDescent="0.25">
      <c r="A5" s="1">
        <v>2</v>
      </c>
      <c r="B5" s="1" t="s">
        <v>10</v>
      </c>
      <c r="C5" s="1">
        <v>151</v>
      </c>
      <c r="D5" s="1">
        <f t="shared" ref="D5:D9" si="0">C5-C4</f>
        <v>68</v>
      </c>
      <c r="E5" s="1">
        <v>0.254</v>
      </c>
      <c r="F5" s="1">
        <f t="shared" ref="F5:F9" si="1">5/D5</f>
        <v>7.3529411764705885E-2</v>
      </c>
      <c r="G5" s="1">
        <v>400</v>
      </c>
      <c r="H5" s="1">
        <f t="shared" ref="H5:H9" si="2">F5*86400*E5/G5</f>
        <v>4.0341176470588236</v>
      </c>
      <c r="I5" s="1">
        <v>0</v>
      </c>
      <c r="J5" s="1">
        <v>0</v>
      </c>
      <c r="K5" s="1" t="s">
        <v>47</v>
      </c>
      <c r="L5" s="1">
        <v>26.2</v>
      </c>
      <c r="O5" s="1">
        <f t="shared" ref="O5:O9" si="3">H5*400/(400+4*0.18*20+PI()*0.25*(5.6^2-5.44^2))</f>
        <v>3.8809433400499715</v>
      </c>
    </row>
    <row r="6" spans="1:15" x14ac:dyDescent="0.25">
      <c r="A6" s="1">
        <v>3</v>
      </c>
      <c r="B6" s="1" t="s">
        <v>11</v>
      </c>
      <c r="C6" s="1">
        <v>210</v>
      </c>
      <c r="D6" s="1">
        <f t="shared" si="0"/>
        <v>59</v>
      </c>
      <c r="E6" s="1">
        <v>0.254</v>
      </c>
      <c r="F6" s="1">
        <f t="shared" si="1"/>
        <v>8.4745762711864403E-2</v>
      </c>
      <c r="G6" s="1">
        <v>400</v>
      </c>
      <c r="H6" s="1">
        <f t="shared" si="2"/>
        <v>4.6494915254237288</v>
      </c>
      <c r="I6" s="1">
        <v>0</v>
      </c>
      <c r="J6" s="1">
        <v>0</v>
      </c>
      <c r="K6" s="1" t="s">
        <v>48</v>
      </c>
      <c r="L6" s="1">
        <v>26.25</v>
      </c>
      <c r="N6" s="1">
        <v>80</v>
      </c>
      <c r="O6" s="1">
        <f t="shared" si="3"/>
        <v>4.4729516461592889</v>
      </c>
    </row>
    <row r="7" spans="1:15" x14ac:dyDescent="0.25">
      <c r="A7" s="1">
        <v>4</v>
      </c>
      <c r="B7" s="1" t="s">
        <v>12</v>
      </c>
      <c r="C7" s="1">
        <v>278</v>
      </c>
      <c r="D7" s="1">
        <f t="shared" si="0"/>
        <v>68</v>
      </c>
      <c r="E7" s="1">
        <v>0.254</v>
      </c>
      <c r="F7" s="1">
        <f t="shared" si="1"/>
        <v>7.3529411764705885E-2</v>
      </c>
      <c r="G7" s="1">
        <v>400</v>
      </c>
      <c r="H7" s="1">
        <f t="shared" si="2"/>
        <v>4.0341176470588236</v>
      </c>
      <c r="I7" s="1">
        <v>0</v>
      </c>
      <c r="J7" s="1">
        <v>0</v>
      </c>
      <c r="K7" s="1" t="s">
        <v>49</v>
      </c>
      <c r="L7" s="1">
        <v>26.28</v>
      </c>
      <c r="O7" s="1">
        <f t="shared" si="3"/>
        <v>3.8809433400499715</v>
      </c>
    </row>
    <row r="8" spans="1:15" x14ac:dyDescent="0.25">
      <c r="A8" s="1">
        <v>5</v>
      </c>
      <c r="B8" s="1" t="s">
        <v>13</v>
      </c>
      <c r="C8" s="1">
        <v>326</v>
      </c>
      <c r="D8" s="1">
        <f t="shared" si="0"/>
        <v>48</v>
      </c>
      <c r="E8" s="1">
        <v>0.254</v>
      </c>
      <c r="F8" s="1">
        <f t="shared" si="1"/>
        <v>0.10416666666666667</v>
      </c>
      <c r="G8" s="1">
        <v>400</v>
      </c>
      <c r="H8" s="1">
        <f t="shared" si="2"/>
        <v>5.7149999999999999</v>
      </c>
      <c r="I8" s="1">
        <v>0</v>
      </c>
      <c r="J8" s="1">
        <v>0</v>
      </c>
      <c r="K8" s="1" t="s">
        <v>50</v>
      </c>
      <c r="L8" s="1">
        <v>26.24</v>
      </c>
      <c r="O8" s="1">
        <f t="shared" si="3"/>
        <v>5.4980030650707929</v>
      </c>
    </row>
    <row r="9" spans="1:15" x14ac:dyDescent="0.25">
      <c r="A9" s="1">
        <v>6</v>
      </c>
      <c r="B9" s="1" t="s">
        <v>14</v>
      </c>
      <c r="C9" s="1">
        <v>387</v>
      </c>
      <c r="D9" s="1">
        <f t="shared" si="0"/>
        <v>61</v>
      </c>
      <c r="E9" s="1">
        <v>0.254</v>
      </c>
      <c r="F9" s="1">
        <f t="shared" si="1"/>
        <v>8.1967213114754092E-2</v>
      </c>
      <c r="G9" s="1">
        <v>400</v>
      </c>
      <c r="H9" s="1">
        <f t="shared" si="2"/>
        <v>4.4970491803278687</v>
      </c>
      <c r="I9" s="1">
        <v>0</v>
      </c>
      <c r="J9" s="1">
        <v>0</v>
      </c>
      <c r="K9" s="1" t="s">
        <v>51</v>
      </c>
      <c r="L9" s="1">
        <v>26.34</v>
      </c>
      <c r="O9" s="1">
        <f t="shared" si="3"/>
        <v>4.3262974938261971</v>
      </c>
    </row>
    <row r="11" spans="1:15" x14ac:dyDescent="0.25">
      <c r="C11" s="1" t="s">
        <v>18</v>
      </c>
      <c r="D11" s="1">
        <f>AVERAGE(D4:D9)</f>
        <v>60.333333333333336</v>
      </c>
      <c r="G11" s="1" t="s">
        <v>18</v>
      </c>
      <c r="H11" s="1">
        <f>AVERAGE(H4:H9)</f>
        <v>4.6099051953805059</v>
      </c>
      <c r="K11" s="1" t="s">
        <v>18</v>
      </c>
      <c r="L11" s="1">
        <f>AVERAGE(L3:L9)</f>
        <v>26.237142857142857</v>
      </c>
      <c r="O11" s="1">
        <f>AVERAGE(O4:O9)</f>
        <v>4.4348683978806287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7.85546875" style="1" bestFit="1" customWidth="1"/>
    <col min="8" max="8" width="9.85546875" style="1" bestFit="1" customWidth="1"/>
    <col min="9" max="10" width="11.7109375" style="1" bestFit="1" customWidth="1"/>
    <col min="11" max="11" width="10.5703125" style="1" bestFit="1" customWidth="1"/>
    <col min="12" max="12" width="10.85546875" style="1" bestFit="1" customWidth="1"/>
    <col min="13" max="13" width="11.7109375" style="1" bestFit="1" customWidth="1"/>
    <col min="14" max="14" width="7.7109375" style="1" bestFit="1" customWidth="1"/>
    <col min="15" max="16384" width="9.140625" style="1"/>
  </cols>
  <sheetData>
    <row r="1" spans="1:14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26</v>
      </c>
      <c r="J1" s="1" t="s">
        <v>26</v>
      </c>
      <c r="K1" s="1" t="s">
        <v>23</v>
      </c>
      <c r="L1" s="1" t="s">
        <v>24</v>
      </c>
      <c r="M1" s="1" t="s">
        <v>15</v>
      </c>
      <c r="N1" s="1" t="s">
        <v>25</v>
      </c>
    </row>
    <row r="2" spans="1:14" x14ac:dyDescent="0.25"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27</v>
      </c>
      <c r="J2" s="1" t="s">
        <v>28</v>
      </c>
      <c r="K2" s="1" t="s">
        <v>16</v>
      </c>
      <c r="L2" s="1" t="s">
        <v>16</v>
      </c>
      <c r="M2" s="1" t="s">
        <v>16</v>
      </c>
      <c r="N2" s="1" t="s">
        <v>17</v>
      </c>
    </row>
    <row r="3" spans="1:14" x14ac:dyDescent="0.25">
      <c r="A3" s="1">
        <v>0</v>
      </c>
      <c r="B3" s="1" t="s">
        <v>8</v>
      </c>
      <c r="C3" s="1">
        <v>148</v>
      </c>
      <c r="E3" s="1">
        <v>0.254</v>
      </c>
      <c r="G3" s="1">
        <v>400</v>
      </c>
      <c r="I3" s="1">
        <v>2</v>
      </c>
      <c r="J3" s="1">
        <f>I3*5/18</f>
        <v>0.55555555555555558</v>
      </c>
      <c r="L3" s="1">
        <v>26.28</v>
      </c>
    </row>
    <row r="4" spans="1:14" x14ac:dyDescent="0.25">
      <c r="A4" s="1">
        <v>1</v>
      </c>
      <c r="B4" s="1" t="s">
        <v>9</v>
      </c>
      <c r="C4" s="1">
        <v>181</v>
      </c>
      <c r="D4" s="1">
        <f>C4-C3</f>
        <v>33</v>
      </c>
      <c r="E4" s="1">
        <v>0.254</v>
      </c>
      <c r="F4" s="1">
        <f>5/D4</f>
        <v>0.15151515151515152</v>
      </c>
      <c r="G4" s="1">
        <v>400</v>
      </c>
      <c r="H4" s="1">
        <f>F4*86400*E4/G4</f>
        <v>8.3127272727272743</v>
      </c>
      <c r="I4" s="1">
        <v>2</v>
      </c>
      <c r="J4" s="1">
        <f t="shared" ref="J4:J9" si="0">I4*5/18</f>
        <v>0.55555555555555558</v>
      </c>
      <c r="L4" s="1">
        <v>26.09</v>
      </c>
    </row>
    <row r="5" spans="1:14" x14ac:dyDescent="0.25">
      <c r="A5" s="1">
        <v>2</v>
      </c>
      <c r="B5" s="1" t="s">
        <v>10</v>
      </c>
      <c r="C5" s="1">
        <v>211</v>
      </c>
      <c r="D5" s="1">
        <f t="shared" ref="D5:D9" si="1">C5-C4</f>
        <v>30</v>
      </c>
      <c r="E5" s="1">
        <v>0.254</v>
      </c>
      <c r="F5" s="1">
        <f t="shared" ref="F5:F9" si="2">5/D5</f>
        <v>0.16666666666666666</v>
      </c>
      <c r="G5" s="1">
        <v>400</v>
      </c>
      <c r="H5" s="1">
        <f t="shared" ref="H5:H9" si="3">F5*86400*E5/G5</f>
        <v>9.1440000000000001</v>
      </c>
      <c r="I5" s="1">
        <v>2</v>
      </c>
      <c r="J5" s="1">
        <f t="shared" si="0"/>
        <v>0.55555555555555558</v>
      </c>
      <c r="L5" s="1">
        <v>25.95</v>
      </c>
    </row>
    <row r="6" spans="1:14" x14ac:dyDescent="0.25">
      <c r="A6" s="1">
        <v>3</v>
      </c>
      <c r="B6" s="1" t="s">
        <v>11</v>
      </c>
      <c r="C6" s="1">
        <v>239</v>
      </c>
      <c r="D6" s="1">
        <f t="shared" si="1"/>
        <v>28</v>
      </c>
      <c r="E6" s="1">
        <v>0.254</v>
      </c>
      <c r="F6" s="1">
        <f t="shared" si="2"/>
        <v>0.17857142857142858</v>
      </c>
      <c r="G6" s="1">
        <v>400</v>
      </c>
      <c r="H6" s="1">
        <f t="shared" si="3"/>
        <v>9.7971428571428572</v>
      </c>
      <c r="I6" s="1">
        <v>2</v>
      </c>
      <c r="J6" s="1">
        <f t="shared" si="0"/>
        <v>0.55555555555555558</v>
      </c>
      <c r="L6" s="1">
        <v>25.93</v>
      </c>
      <c r="N6" s="1">
        <v>85</v>
      </c>
    </row>
    <row r="7" spans="1:14" x14ac:dyDescent="0.25">
      <c r="A7" s="1">
        <v>4</v>
      </c>
      <c r="B7" s="1" t="s">
        <v>12</v>
      </c>
      <c r="C7" s="1">
        <v>272</v>
      </c>
      <c r="D7" s="1">
        <f t="shared" si="1"/>
        <v>33</v>
      </c>
      <c r="E7" s="1">
        <v>0.254</v>
      </c>
      <c r="F7" s="1">
        <f t="shared" si="2"/>
        <v>0.15151515151515152</v>
      </c>
      <c r="G7" s="1">
        <v>400</v>
      </c>
      <c r="H7" s="1">
        <f t="shared" si="3"/>
        <v>8.3127272727272743</v>
      </c>
      <c r="I7" s="1">
        <v>2</v>
      </c>
      <c r="J7" s="1">
        <f t="shared" si="0"/>
        <v>0.55555555555555558</v>
      </c>
      <c r="L7" s="1">
        <v>25.89</v>
      </c>
    </row>
    <row r="8" spans="1:14" x14ac:dyDescent="0.25">
      <c r="A8" s="1">
        <v>5</v>
      </c>
      <c r="B8" s="1" t="s">
        <v>13</v>
      </c>
      <c r="C8" s="1">
        <v>300</v>
      </c>
      <c r="D8" s="1">
        <f t="shared" si="1"/>
        <v>28</v>
      </c>
      <c r="E8" s="1">
        <v>0.254</v>
      </c>
      <c r="F8" s="1">
        <f t="shared" si="2"/>
        <v>0.17857142857142858</v>
      </c>
      <c r="G8" s="1">
        <v>400</v>
      </c>
      <c r="H8" s="1">
        <f t="shared" si="3"/>
        <v>9.7971428571428572</v>
      </c>
      <c r="I8" s="1">
        <v>2</v>
      </c>
      <c r="J8" s="1">
        <f t="shared" si="0"/>
        <v>0.55555555555555558</v>
      </c>
      <c r="L8" s="1">
        <v>25.89</v>
      </c>
    </row>
    <row r="9" spans="1:14" x14ac:dyDescent="0.25">
      <c r="A9" s="1">
        <v>6</v>
      </c>
      <c r="B9" s="1" t="s">
        <v>14</v>
      </c>
      <c r="C9" s="1">
        <v>329</v>
      </c>
      <c r="D9" s="1">
        <f t="shared" si="1"/>
        <v>29</v>
      </c>
      <c r="E9" s="1">
        <v>0.254</v>
      </c>
      <c r="F9" s="1">
        <f t="shared" si="2"/>
        <v>0.17241379310344829</v>
      </c>
      <c r="G9" s="1">
        <v>400</v>
      </c>
      <c r="H9" s="1">
        <f t="shared" si="3"/>
        <v>9.4593103448275855</v>
      </c>
      <c r="I9" s="1">
        <v>2</v>
      </c>
      <c r="J9" s="1">
        <f t="shared" si="0"/>
        <v>0.55555555555555558</v>
      </c>
      <c r="L9" s="1">
        <v>25.89</v>
      </c>
    </row>
    <row r="11" spans="1:14" x14ac:dyDescent="0.25">
      <c r="C11" s="1" t="s">
        <v>18</v>
      </c>
      <c r="D11" s="1">
        <f>AVERAGE(D4:D9)</f>
        <v>30.166666666666668</v>
      </c>
      <c r="G11" s="1" t="s">
        <v>18</v>
      </c>
      <c r="H11" s="1">
        <f>AVERAGE(H4:H9)</f>
        <v>9.1371751007613078</v>
      </c>
      <c r="K11" s="1" t="s">
        <v>18</v>
      </c>
      <c r="L11" s="1">
        <f>AVERAGE(L3:L9)</f>
        <v>25.988571428571422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/>
  </sheetViews>
  <sheetFormatPr defaultRowHeight="15" x14ac:dyDescent="0.25"/>
  <cols>
    <col min="1" max="1" width="8.42578125" bestFit="1" customWidth="1"/>
    <col min="2" max="2" width="15.140625" bestFit="1" customWidth="1"/>
    <col min="3" max="3" width="10.85546875" bestFit="1" customWidth="1"/>
    <col min="4" max="4" width="16.7109375" bestFit="1" customWidth="1"/>
    <col min="5" max="5" width="8.85546875" bestFit="1" customWidth="1"/>
    <col min="6" max="6" width="15.42578125" bestFit="1" customWidth="1"/>
    <col min="7" max="7" width="7.85546875" bestFit="1" customWidth="1"/>
    <col min="8" max="8" width="9.85546875" bestFit="1" customWidth="1"/>
    <col min="9" max="10" width="11.7109375" style="1" bestFit="1" customWidth="1"/>
    <col min="11" max="11" width="11" bestFit="1" customWidth="1"/>
    <col min="12" max="12" width="10.85546875" bestFit="1" customWidth="1"/>
    <col min="13" max="13" width="11.7109375" bestFit="1" customWidth="1"/>
    <col min="14" max="14" width="7.7109375" bestFit="1" customWidth="1"/>
  </cols>
  <sheetData>
    <row r="1" spans="1:14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26</v>
      </c>
      <c r="J1" s="1" t="s">
        <v>26</v>
      </c>
      <c r="K1" s="1" t="s">
        <v>23</v>
      </c>
      <c r="L1" s="1" t="s">
        <v>24</v>
      </c>
      <c r="M1" s="1" t="s">
        <v>15</v>
      </c>
      <c r="N1" s="1" t="s">
        <v>25</v>
      </c>
    </row>
    <row r="2" spans="1:14" x14ac:dyDescent="0.25">
      <c r="A2" s="1"/>
      <c r="B2" s="1"/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27</v>
      </c>
      <c r="J2" s="1" t="s">
        <v>28</v>
      </c>
      <c r="K2" s="1" t="s">
        <v>16</v>
      </c>
      <c r="L2" s="1" t="s">
        <v>16</v>
      </c>
      <c r="M2" s="1" t="s">
        <v>16</v>
      </c>
      <c r="N2" s="1" t="s">
        <v>17</v>
      </c>
    </row>
    <row r="3" spans="1:14" x14ac:dyDescent="0.25">
      <c r="A3" s="1">
        <v>0</v>
      </c>
      <c r="B3" s="1" t="s">
        <v>8</v>
      </c>
      <c r="C3" s="1">
        <v>21</v>
      </c>
      <c r="D3" s="1"/>
      <c r="E3" s="1">
        <v>0.254</v>
      </c>
      <c r="F3" s="1"/>
      <c r="G3" s="1">
        <v>400</v>
      </c>
      <c r="H3" s="1"/>
      <c r="I3" s="1">
        <v>3.5</v>
      </c>
      <c r="J3" s="1">
        <f>I3*5/18</f>
        <v>0.97222222222222221</v>
      </c>
      <c r="K3" s="1" t="s">
        <v>57</v>
      </c>
      <c r="L3" s="1">
        <v>26.31</v>
      </c>
      <c r="M3" s="1"/>
      <c r="N3" s="1"/>
    </row>
    <row r="4" spans="1:14" x14ac:dyDescent="0.25">
      <c r="A4" s="1">
        <v>1</v>
      </c>
      <c r="B4" s="1" t="s">
        <v>9</v>
      </c>
      <c r="C4" s="1">
        <v>47</v>
      </c>
      <c r="D4" s="1">
        <f>C4-C3</f>
        <v>26</v>
      </c>
      <c r="E4" s="1">
        <v>0.254</v>
      </c>
      <c r="F4" s="1">
        <f>5/D4</f>
        <v>0.19230769230769232</v>
      </c>
      <c r="G4" s="1">
        <v>400</v>
      </c>
      <c r="H4" s="1">
        <f>F4*86400*E4/G4</f>
        <v>10.55076923076923</v>
      </c>
      <c r="I4" s="1">
        <v>3.5</v>
      </c>
      <c r="J4" s="1">
        <f t="shared" ref="J4:J9" si="0">I4*5/18</f>
        <v>0.97222222222222221</v>
      </c>
      <c r="K4" s="1" t="s">
        <v>58</v>
      </c>
      <c r="L4" s="1">
        <v>26.02</v>
      </c>
      <c r="M4" s="1"/>
      <c r="N4" s="1"/>
    </row>
    <row r="5" spans="1:14" x14ac:dyDescent="0.25">
      <c r="A5" s="1">
        <v>2</v>
      </c>
      <c r="B5" s="1" t="s">
        <v>10</v>
      </c>
      <c r="C5" s="1">
        <v>73</v>
      </c>
      <c r="D5" s="1">
        <f t="shared" ref="D5:D9" si="1">C5-C4</f>
        <v>26</v>
      </c>
      <c r="E5" s="1">
        <v>0.254</v>
      </c>
      <c r="F5" s="1">
        <f t="shared" ref="F5:F9" si="2">5/D5</f>
        <v>0.19230769230769232</v>
      </c>
      <c r="G5" s="1">
        <v>400</v>
      </c>
      <c r="H5" s="1">
        <f t="shared" ref="H5:H9" si="3">F5*86400*E5/G5</f>
        <v>10.55076923076923</v>
      </c>
      <c r="I5" s="1">
        <v>3.5</v>
      </c>
      <c r="J5" s="1">
        <f t="shared" si="0"/>
        <v>0.97222222222222221</v>
      </c>
      <c r="K5" s="1" t="s">
        <v>59</v>
      </c>
      <c r="L5" s="1">
        <v>25.81</v>
      </c>
      <c r="M5" s="1"/>
      <c r="N5" s="1"/>
    </row>
    <row r="6" spans="1:14" x14ac:dyDescent="0.25">
      <c r="A6" s="1">
        <v>3</v>
      </c>
      <c r="B6" s="1" t="s">
        <v>11</v>
      </c>
      <c r="C6" s="1">
        <v>101</v>
      </c>
      <c r="D6" s="1">
        <f t="shared" si="1"/>
        <v>28</v>
      </c>
      <c r="E6" s="1">
        <v>0.254</v>
      </c>
      <c r="F6" s="1">
        <f t="shared" si="2"/>
        <v>0.17857142857142858</v>
      </c>
      <c r="G6" s="1">
        <v>400</v>
      </c>
      <c r="H6" s="1">
        <f t="shared" si="3"/>
        <v>9.7971428571428572</v>
      </c>
      <c r="I6" s="1">
        <v>3.5</v>
      </c>
      <c r="J6" s="1">
        <f t="shared" si="0"/>
        <v>0.97222222222222221</v>
      </c>
      <c r="K6" s="1" t="s">
        <v>60</v>
      </c>
      <c r="L6" s="1">
        <v>25.72</v>
      </c>
      <c r="M6" s="1"/>
      <c r="N6" s="1">
        <v>87</v>
      </c>
    </row>
    <row r="7" spans="1:14" x14ac:dyDescent="0.25">
      <c r="A7" s="1">
        <v>4</v>
      </c>
      <c r="B7" s="1" t="s">
        <v>12</v>
      </c>
      <c r="C7" s="1">
        <v>129</v>
      </c>
      <c r="D7" s="1">
        <f t="shared" si="1"/>
        <v>28</v>
      </c>
      <c r="E7" s="1">
        <v>0.254</v>
      </c>
      <c r="F7" s="1">
        <f t="shared" si="2"/>
        <v>0.17857142857142858</v>
      </c>
      <c r="G7" s="1">
        <v>400</v>
      </c>
      <c r="H7" s="1">
        <f t="shared" si="3"/>
        <v>9.7971428571428572</v>
      </c>
      <c r="I7" s="1">
        <v>3.5</v>
      </c>
      <c r="J7" s="1">
        <f t="shared" si="0"/>
        <v>0.97222222222222221</v>
      </c>
      <c r="K7" s="1" t="s">
        <v>61</v>
      </c>
      <c r="L7" s="1">
        <v>25.63</v>
      </c>
      <c r="M7" s="1"/>
      <c r="N7" s="1"/>
    </row>
    <row r="8" spans="1:14" x14ac:dyDescent="0.25">
      <c r="A8" s="1">
        <v>5</v>
      </c>
      <c r="B8" s="1" t="s">
        <v>13</v>
      </c>
      <c r="C8" s="1">
        <v>155</v>
      </c>
      <c r="D8" s="1">
        <f t="shared" si="1"/>
        <v>26</v>
      </c>
      <c r="E8" s="1">
        <v>0.254</v>
      </c>
      <c r="F8" s="1">
        <f t="shared" si="2"/>
        <v>0.19230769230769232</v>
      </c>
      <c r="G8" s="1">
        <v>400</v>
      </c>
      <c r="H8" s="1">
        <f t="shared" si="3"/>
        <v>10.55076923076923</v>
      </c>
      <c r="I8" s="1">
        <v>3.5</v>
      </c>
      <c r="J8" s="1">
        <f t="shared" si="0"/>
        <v>0.97222222222222221</v>
      </c>
      <c r="K8" s="1" t="s">
        <v>62</v>
      </c>
      <c r="L8" s="1">
        <v>25.57</v>
      </c>
      <c r="M8" s="1"/>
      <c r="N8" s="1"/>
    </row>
    <row r="9" spans="1:14" x14ac:dyDescent="0.25">
      <c r="A9" s="1">
        <v>6</v>
      </c>
      <c r="B9" s="1" t="s">
        <v>14</v>
      </c>
      <c r="C9" s="1">
        <v>179</v>
      </c>
      <c r="D9" s="1">
        <f t="shared" si="1"/>
        <v>24</v>
      </c>
      <c r="E9" s="1">
        <v>0.254</v>
      </c>
      <c r="F9" s="1">
        <f t="shared" si="2"/>
        <v>0.20833333333333334</v>
      </c>
      <c r="G9" s="1">
        <v>400</v>
      </c>
      <c r="H9" s="1">
        <f t="shared" si="3"/>
        <v>11.43</v>
      </c>
      <c r="I9" s="1">
        <v>3.5</v>
      </c>
      <c r="J9" s="1">
        <f t="shared" si="0"/>
        <v>0.97222222222222221</v>
      </c>
      <c r="K9" s="1" t="s">
        <v>63</v>
      </c>
      <c r="L9" s="1">
        <v>25.53</v>
      </c>
      <c r="M9" s="1"/>
      <c r="N9" s="1"/>
    </row>
    <row r="11" spans="1:14" x14ac:dyDescent="0.25">
      <c r="C11" s="1" t="s">
        <v>18</v>
      </c>
      <c r="D11" s="1">
        <f>AVERAGE(D4:D9)</f>
        <v>26.333333333333332</v>
      </c>
      <c r="E11" s="1"/>
      <c r="F11" s="1"/>
      <c r="G11" s="1" t="s">
        <v>18</v>
      </c>
      <c r="H11" s="1">
        <f>AVERAGE(H4:H9)</f>
        <v>10.446098901098901</v>
      </c>
      <c r="K11" s="1" t="s">
        <v>18</v>
      </c>
      <c r="L11">
        <f>AVERAGE(L3:L9)</f>
        <v>25.798571428571428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7.85546875" style="1" bestFit="1" customWidth="1"/>
    <col min="8" max="8" width="9.85546875" style="1" bestFit="1" customWidth="1"/>
    <col min="9" max="10" width="11.7109375" style="1" bestFit="1" customWidth="1"/>
    <col min="11" max="11" width="11" style="1" bestFit="1" customWidth="1"/>
    <col min="12" max="12" width="10.85546875" style="1" bestFit="1" customWidth="1"/>
    <col min="13" max="13" width="11.7109375" style="1" bestFit="1" customWidth="1"/>
    <col min="14" max="14" width="7.7109375" style="1" bestFit="1" customWidth="1"/>
    <col min="15" max="16384" width="9.140625" style="1"/>
  </cols>
  <sheetData>
    <row r="1" spans="1:14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26</v>
      </c>
      <c r="J1" s="1" t="s">
        <v>26</v>
      </c>
      <c r="K1" s="1" t="s">
        <v>23</v>
      </c>
      <c r="L1" s="1" t="s">
        <v>24</v>
      </c>
      <c r="M1" s="1" t="s">
        <v>15</v>
      </c>
      <c r="N1" s="1" t="s">
        <v>25</v>
      </c>
    </row>
    <row r="2" spans="1:14" x14ac:dyDescent="0.25"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27</v>
      </c>
      <c r="J2" s="1" t="s">
        <v>28</v>
      </c>
      <c r="K2" s="1" t="s">
        <v>16</v>
      </c>
      <c r="L2" s="1" t="s">
        <v>16</v>
      </c>
      <c r="M2" s="1" t="s">
        <v>16</v>
      </c>
      <c r="N2" s="1" t="s">
        <v>17</v>
      </c>
    </row>
    <row r="3" spans="1:14" x14ac:dyDescent="0.25">
      <c r="A3" s="1">
        <v>0</v>
      </c>
      <c r="B3" s="1" t="s">
        <v>8</v>
      </c>
      <c r="C3" s="1">
        <v>325</v>
      </c>
      <c r="E3" s="1">
        <v>0.254</v>
      </c>
      <c r="G3" s="1">
        <v>400</v>
      </c>
      <c r="I3" s="1">
        <v>4</v>
      </c>
      <c r="J3" s="1">
        <f>I3*5/18</f>
        <v>1.1111111111111112</v>
      </c>
      <c r="K3" s="1" t="s">
        <v>52</v>
      </c>
      <c r="L3" s="1">
        <v>25.04</v>
      </c>
    </row>
    <row r="4" spans="1:14" x14ac:dyDescent="0.25">
      <c r="A4" s="1">
        <v>1</v>
      </c>
      <c r="B4" s="1" t="s">
        <v>9</v>
      </c>
      <c r="C4" s="1">
        <v>351</v>
      </c>
      <c r="D4" s="1">
        <f>C4-C3</f>
        <v>26</v>
      </c>
      <c r="E4" s="1">
        <v>0.254</v>
      </c>
      <c r="F4" s="1">
        <f>5/D4</f>
        <v>0.19230769230769232</v>
      </c>
      <c r="G4" s="1">
        <v>400</v>
      </c>
      <c r="H4" s="1">
        <f>F4*86400*E4/G4</f>
        <v>10.55076923076923</v>
      </c>
      <c r="I4" s="1">
        <v>4</v>
      </c>
      <c r="J4" s="1">
        <f t="shared" ref="J4:J9" si="0">I4*5/18</f>
        <v>1.1111111111111112</v>
      </c>
      <c r="K4" s="1" t="s">
        <v>53</v>
      </c>
      <c r="L4" s="1">
        <v>25.04</v>
      </c>
    </row>
    <row r="5" spans="1:14" x14ac:dyDescent="0.25">
      <c r="A5" s="1">
        <v>2</v>
      </c>
      <c r="B5" s="1" t="s">
        <v>10</v>
      </c>
      <c r="C5" s="1">
        <v>376</v>
      </c>
      <c r="D5" s="1">
        <f t="shared" ref="D5:D9" si="1">C5-C4</f>
        <v>25</v>
      </c>
      <c r="E5" s="1">
        <v>0.254</v>
      </c>
      <c r="F5" s="1">
        <f t="shared" ref="F5:F9" si="2">5/D5</f>
        <v>0.2</v>
      </c>
      <c r="G5" s="1">
        <v>400</v>
      </c>
      <c r="H5" s="1">
        <f t="shared" ref="H5:H9" si="3">F5*86400*E5/G5</f>
        <v>10.972799999999999</v>
      </c>
      <c r="I5" s="1">
        <v>4</v>
      </c>
      <c r="J5" s="1">
        <f t="shared" si="0"/>
        <v>1.1111111111111112</v>
      </c>
      <c r="K5" s="1" t="s">
        <v>54</v>
      </c>
      <c r="L5" s="1">
        <v>25.05</v>
      </c>
    </row>
    <row r="6" spans="1:14" x14ac:dyDescent="0.25">
      <c r="A6" s="1">
        <v>3</v>
      </c>
      <c r="B6" s="1" t="s">
        <v>11</v>
      </c>
      <c r="C6" s="1">
        <v>400</v>
      </c>
      <c r="D6" s="1">
        <f t="shared" si="1"/>
        <v>24</v>
      </c>
      <c r="E6" s="1">
        <v>0.254</v>
      </c>
      <c r="F6" s="1">
        <f t="shared" si="2"/>
        <v>0.20833333333333334</v>
      </c>
      <c r="G6" s="1">
        <v>400</v>
      </c>
      <c r="H6" s="1">
        <f t="shared" si="3"/>
        <v>11.43</v>
      </c>
      <c r="I6" s="1">
        <v>4</v>
      </c>
      <c r="J6" s="1">
        <f t="shared" si="0"/>
        <v>1.1111111111111112</v>
      </c>
      <c r="K6" s="1" t="s">
        <v>52</v>
      </c>
      <c r="L6" s="1">
        <v>25.04</v>
      </c>
      <c r="N6" s="1">
        <v>89</v>
      </c>
    </row>
    <row r="7" spans="1:14" x14ac:dyDescent="0.25">
      <c r="A7" s="1">
        <v>4</v>
      </c>
      <c r="B7" s="1" t="s">
        <v>12</v>
      </c>
      <c r="C7" s="1">
        <v>425</v>
      </c>
      <c r="D7" s="1">
        <f t="shared" si="1"/>
        <v>25</v>
      </c>
      <c r="E7" s="1">
        <v>0.254</v>
      </c>
      <c r="F7" s="1">
        <f t="shared" si="2"/>
        <v>0.2</v>
      </c>
      <c r="G7" s="1">
        <v>400</v>
      </c>
      <c r="H7" s="1">
        <f t="shared" si="3"/>
        <v>10.972799999999999</v>
      </c>
      <c r="I7" s="1">
        <v>4</v>
      </c>
      <c r="J7" s="1">
        <f t="shared" si="0"/>
        <v>1.1111111111111112</v>
      </c>
      <c r="K7" s="1" t="s">
        <v>55</v>
      </c>
      <c r="L7" s="1">
        <v>25.03</v>
      </c>
    </row>
    <row r="8" spans="1:14" x14ac:dyDescent="0.25">
      <c r="A8" s="1">
        <v>5</v>
      </c>
      <c r="B8" s="1" t="s">
        <v>13</v>
      </c>
      <c r="C8" s="1">
        <v>446</v>
      </c>
      <c r="D8" s="1">
        <f t="shared" si="1"/>
        <v>21</v>
      </c>
      <c r="E8" s="1">
        <v>0.254</v>
      </c>
      <c r="F8" s="1">
        <f t="shared" si="2"/>
        <v>0.23809523809523808</v>
      </c>
      <c r="G8" s="1">
        <v>400</v>
      </c>
      <c r="H8" s="1">
        <f t="shared" si="3"/>
        <v>13.062857142857142</v>
      </c>
      <c r="I8" s="1">
        <v>4</v>
      </c>
      <c r="J8" s="1">
        <f t="shared" si="0"/>
        <v>1.1111111111111112</v>
      </c>
      <c r="K8" s="1" t="s">
        <v>55</v>
      </c>
      <c r="L8" s="1">
        <v>25.03</v>
      </c>
    </row>
    <row r="9" spans="1:14" x14ac:dyDescent="0.25">
      <c r="A9" s="1">
        <v>6</v>
      </c>
      <c r="B9" s="1" t="s">
        <v>14</v>
      </c>
      <c r="C9" s="1">
        <v>470</v>
      </c>
      <c r="D9" s="1">
        <f t="shared" si="1"/>
        <v>24</v>
      </c>
      <c r="E9" s="1">
        <v>0.254</v>
      </c>
      <c r="F9" s="1">
        <f t="shared" si="2"/>
        <v>0.20833333333333334</v>
      </c>
      <c r="G9" s="1">
        <v>400</v>
      </c>
      <c r="H9" s="1">
        <f t="shared" si="3"/>
        <v>11.43</v>
      </c>
      <c r="I9" s="1">
        <v>4</v>
      </c>
      <c r="J9" s="1">
        <f t="shared" si="0"/>
        <v>1.1111111111111112</v>
      </c>
      <c r="K9" s="1" t="s">
        <v>56</v>
      </c>
      <c r="L9" s="1">
        <v>25.05</v>
      </c>
    </row>
    <row r="11" spans="1:14" x14ac:dyDescent="0.25">
      <c r="C11" s="1" t="s">
        <v>18</v>
      </c>
      <c r="D11" s="1">
        <f>AVERAGE(D4:D9)</f>
        <v>24.166666666666668</v>
      </c>
      <c r="G11" s="1" t="s">
        <v>18</v>
      </c>
      <c r="H11" s="1">
        <f>AVERAGE(H4:H9)</f>
        <v>11.403204395604396</v>
      </c>
      <c r="K11" s="1" t="s">
        <v>18</v>
      </c>
      <c r="L11" s="1">
        <f>AVERAGE(L3:L9)</f>
        <v>25.04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7.85546875" style="1" bestFit="1" customWidth="1"/>
    <col min="8" max="8" width="9.85546875" style="1" bestFit="1" customWidth="1"/>
    <col min="9" max="10" width="11.7109375" style="1" bestFit="1" customWidth="1"/>
    <col min="11" max="11" width="11" style="1" bestFit="1" customWidth="1"/>
    <col min="12" max="12" width="10.85546875" style="1" bestFit="1" customWidth="1"/>
    <col min="13" max="13" width="11.7109375" style="1" bestFit="1" customWidth="1"/>
    <col min="14" max="14" width="7.7109375" style="1" bestFit="1" customWidth="1"/>
    <col min="15" max="16384" width="9.140625" style="1"/>
  </cols>
  <sheetData>
    <row r="1" spans="1:14" customFormat="1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26</v>
      </c>
      <c r="J1" s="1" t="s">
        <v>26</v>
      </c>
      <c r="K1" s="1" t="s">
        <v>23</v>
      </c>
      <c r="L1" s="1" t="s">
        <v>24</v>
      </c>
      <c r="M1" s="1" t="s">
        <v>15</v>
      </c>
      <c r="N1" s="1" t="s">
        <v>25</v>
      </c>
    </row>
    <row r="2" spans="1:14" customFormat="1" x14ac:dyDescent="0.25">
      <c r="A2" s="1"/>
      <c r="B2" s="1"/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27</v>
      </c>
      <c r="J2" s="1" t="s">
        <v>28</v>
      </c>
      <c r="K2" s="1" t="s">
        <v>16</v>
      </c>
      <c r="L2" s="1" t="s">
        <v>16</v>
      </c>
      <c r="M2" s="1" t="s">
        <v>16</v>
      </c>
      <c r="N2" s="1" t="s">
        <v>17</v>
      </c>
    </row>
    <row r="3" spans="1:14" x14ac:dyDescent="0.25">
      <c r="A3" s="1">
        <v>0</v>
      </c>
      <c r="B3" s="1" t="s">
        <v>8</v>
      </c>
      <c r="E3" s="1">
        <v>0.254</v>
      </c>
      <c r="G3" s="1">
        <v>400</v>
      </c>
      <c r="I3" s="1">
        <v>4.5</v>
      </c>
      <c r="J3" s="1">
        <f>I3*5/18</f>
        <v>1.25</v>
      </c>
      <c r="K3" s="1" t="s">
        <v>64</v>
      </c>
      <c r="L3" s="1">
        <v>25.15</v>
      </c>
    </row>
    <row r="4" spans="1:14" x14ac:dyDescent="0.25">
      <c r="A4" s="1">
        <v>1</v>
      </c>
      <c r="B4" s="1" t="s">
        <v>9</v>
      </c>
      <c r="C4" s="1">
        <v>16</v>
      </c>
      <c r="D4" s="1">
        <f>C4-C3</f>
        <v>16</v>
      </c>
      <c r="E4" s="1">
        <v>0.254</v>
      </c>
      <c r="F4" s="1">
        <f>5/D4</f>
        <v>0.3125</v>
      </c>
      <c r="G4" s="1">
        <v>400</v>
      </c>
      <c r="H4" s="1">
        <f>F4*86400*E4/G4</f>
        <v>17.145</v>
      </c>
      <c r="I4" s="1">
        <v>4.5</v>
      </c>
      <c r="J4" s="1">
        <f t="shared" ref="J4:J9" si="0">I4*5/18</f>
        <v>1.25</v>
      </c>
      <c r="K4" s="1" t="s">
        <v>65</v>
      </c>
      <c r="L4" s="1">
        <v>25.1</v>
      </c>
    </row>
    <row r="5" spans="1:14" x14ac:dyDescent="0.25">
      <c r="A5" s="1">
        <v>2</v>
      </c>
      <c r="B5" s="1" t="s">
        <v>10</v>
      </c>
      <c r="C5" s="1">
        <v>35</v>
      </c>
      <c r="D5" s="1">
        <f t="shared" ref="D5:D9" si="1">C5-C4</f>
        <v>19</v>
      </c>
      <c r="E5" s="1">
        <v>0.254</v>
      </c>
      <c r="F5" s="1">
        <f t="shared" ref="F5:F9" si="2">5/D5</f>
        <v>0.26315789473684209</v>
      </c>
      <c r="G5" s="1">
        <v>400</v>
      </c>
      <c r="H5" s="1">
        <f t="shared" ref="H5:H9" si="3">F5*86400*E5/G5</f>
        <v>14.437894736842104</v>
      </c>
      <c r="I5" s="1">
        <v>4.5</v>
      </c>
      <c r="J5" s="1">
        <f t="shared" si="0"/>
        <v>1.25</v>
      </c>
      <c r="K5" s="1" t="s">
        <v>66</v>
      </c>
      <c r="L5" s="1">
        <v>25.03</v>
      </c>
    </row>
    <row r="6" spans="1:14" x14ac:dyDescent="0.25">
      <c r="A6" s="1">
        <v>3</v>
      </c>
      <c r="B6" s="1" t="s">
        <v>11</v>
      </c>
      <c r="C6" s="1">
        <v>55</v>
      </c>
      <c r="D6" s="1">
        <f t="shared" si="1"/>
        <v>20</v>
      </c>
      <c r="E6" s="1">
        <v>0.254</v>
      </c>
      <c r="F6" s="1">
        <f t="shared" si="2"/>
        <v>0.25</v>
      </c>
      <c r="G6" s="1">
        <v>400</v>
      </c>
      <c r="H6" s="1">
        <f t="shared" si="3"/>
        <v>13.715999999999999</v>
      </c>
      <c r="I6" s="1">
        <v>4.5</v>
      </c>
      <c r="J6" s="1">
        <f t="shared" si="0"/>
        <v>1.25</v>
      </c>
      <c r="K6" s="1" t="s">
        <v>67</v>
      </c>
      <c r="L6" s="1">
        <v>24.98</v>
      </c>
      <c r="N6" s="1">
        <v>90</v>
      </c>
    </row>
    <row r="7" spans="1:14" x14ac:dyDescent="0.25">
      <c r="A7" s="1">
        <v>4</v>
      </c>
      <c r="B7" s="1" t="s">
        <v>12</v>
      </c>
      <c r="C7" s="1">
        <v>77</v>
      </c>
      <c r="D7" s="1">
        <f t="shared" si="1"/>
        <v>22</v>
      </c>
      <c r="E7" s="1">
        <v>0.254</v>
      </c>
      <c r="F7" s="1">
        <f t="shared" si="2"/>
        <v>0.22727272727272727</v>
      </c>
      <c r="G7" s="1">
        <v>400</v>
      </c>
      <c r="H7" s="1">
        <f t="shared" si="3"/>
        <v>12.469090909090911</v>
      </c>
      <c r="I7" s="1">
        <v>4.5</v>
      </c>
      <c r="J7" s="1">
        <f t="shared" si="0"/>
        <v>1.25</v>
      </c>
      <c r="K7" s="1" t="s">
        <v>68</v>
      </c>
      <c r="L7" s="1">
        <v>24.95</v>
      </c>
    </row>
    <row r="8" spans="1:14" x14ac:dyDescent="0.25">
      <c r="A8" s="1">
        <v>5</v>
      </c>
      <c r="B8" s="1" t="s">
        <v>13</v>
      </c>
      <c r="C8" s="1">
        <v>97</v>
      </c>
      <c r="D8" s="1">
        <f t="shared" si="1"/>
        <v>20</v>
      </c>
      <c r="E8" s="1">
        <v>0.254</v>
      </c>
      <c r="F8" s="1">
        <f t="shared" si="2"/>
        <v>0.25</v>
      </c>
      <c r="G8" s="1">
        <v>400</v>
      </c>
      <c r="H8" s="1">
        <f t="shared" si="3"/>
        <v>13.715999999999999</v>
      </c>
      <c r="I8" s="1">
        <v>4.5</v>
      </c>
      <c r="J8" s="1">
        <f t="shared" si="0"/>
        <v>1.25</v>
      </c>
      <c r="K8" s="1" t="s">
        <v>69</v>
      </c>
      <c r="L8" s="1">
        <v>24.94</v>
      </c>
    </row>
    <row r="9" spans="1:14" x14ac:dyDescent="0.25">
      <c r="A9" s="1">
        <v>6</v>
      </c>
      <c r="B9" s="1" t="s">
        <v>14</v>
      </c>
      <c r="C9" s="1">
        <v>118</v>
      </c>
      <c r="D9" s="1">
        <f t="shared" si="1"/>
        <v>21</v>
      </c>
      <c r="E9" s="1">
        <v>0.254</v>
      </c>
      <c r="F9" s="1">
        <f t="shared" si="2"/>
        <v>0.23809523809523808</v>
      </c>
      <c r="G9" s="1">
        <v>400</v>
      </c>
      <c r="H9" s="1">
        <f t="shared" si="3"/>
        <v>13.062857142857142</v>
      </c>
      <c r="I9" s="1">
        <v>4.5</v>
      </c>
      <c r="J9" s="1">
        <f t="shared" si="0"/>
        <v>1.25</v>
      </c>
      <c r="K9" s="1" t="s">
        <v>70</v>
      </c>
      <c r="L9" s="1">
        <v>24.94</v>
      </c>
    </row>
    <row r="11" spans="1:14" x14ac:dyDescent="0.25">
      <c r="C11" s="1" t="s">
        <v>18</v>
      </c>
      <c r="D11" s="1">
        <f>AVERAGE(D4:D9)</f>
        <v>19.666666666666668</v>
      </c>
      <c r="G11" s="1" t="s">
        <v>18</v>
      </c>
      <c r="H11" s="1">
        <f>AVERAGE(H4:H9)</f>
        <v>14.091140464798357</v>
      </c>
      <c r="K11" s="1" t="s">
        <v>79</v>
      </c>
      <c r="L11" s="1">
        <f>AVERAGE(L3:L9)</f>
        <v>25.012857142857143</v>
      </c>
    </row>
    <row r="15" spans="1:14" x14ac:dyDescent="0.25">
      <c r="D15" s="1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/>
  </sheetViews>
  <sheetFormatPr defaultColWidth="8.28515625"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6.7109375" style="1" bestFit="1" customWidth="1"/>
    <col min="5" max="5" width="8.85546875" style="1" bestFit="1" customWidth="1"/>
    <col min="6" max="6" width="15.42578125" style="1" bestFit="1" customWidth="1"/>
    <col min="7" max="7" width="8.28515625" style="1"/>
    <col min="8" max="8" width="12" style="1" bestFit="1" customWidth="1"/>
    <col min="9" max="10" width="11.7109375" style="1" bestFit="1" customWidth="1"/>
    <col min="11" max="11" width="11" style="1" bestFit="1" customWidth="1"/>
    <col min="12" max="12" width="10.85546875" style="1" bestFit="1" customWidth="1"/>
    <col min="13" max="13" width="11.7109375" style="1" bestFit="1" customWidth="1"/>
    <col min="14" max="14" width="7.7109375" style="1" bestFit="1" customWidth="1"/>
    <col min="15" max="16384" width="8.28515625" style="1"/>
  </cols>
  <sheetData>
    <row r="1" spans="1:14" x14ac:dyDescent="0.25">
      <c r="A1" s="1" t="s">
        <v>19</v>
      </c>
      <c r="B1" s="1" t="s">
        <v>7</v>
      </c>
      <c r="C1" s="1" t="s">
        <v>0</v>
      </c>
      <c r="D1" s="1" t="s">
        <v>1</v>
      </c>
      <c r="E1" s="1" t="s">
        <v>20</v>
      </c>
      <c r="F1" s="1" t="s">
        <v>2</v>
      </c>
      <c r="G1" s="1" t="s">
        <v>21</v>
      </c>
      <c r="H1" s="1" t="s">
        <v>22</v>
      </c>
      <c r="I1" s="1" t="s">
        <v>26</v>
      </c>
      <c r="J1" s="1" t="s">
        <v>26</v>
      </c>
      <c r="K1" s="1" t="s">
        <v>23</v>
      </c>
      <c r="L1" s="1" t="s">
        <v>24</v>
      </c>
      <c r="M1" s="1" t="s">
        <v>15</v>
      </c>
      <c r="N1" s="1" t="s">
        <v>25</v>
      </c>
    </row>
    <row r="2" spans="1:14" x14ac:dyDescent="0.25">
      <c r="C2" s="1" t="s">
        <v>3</v>
      </c>
      <c r="D2" s="1" t="s">
        <v>3</v>
      </c>
      <c r="E2" s="1" t="s">
        <v>4</v>
      </c>
      <c r="F2" s="1" t="s">
        <v>5</v>
      </c>
      <c r="G2" s="1" t="s">
        <v>4</v>
      </c>
      <c r="H2" s="1" t="s">
        <v>6</v>
      </c>
      <c r="I2" s="1" t="s">
        <v>27</v>
      </c>
      <c r="J2" s="1" t="s">
        <v>28</v>
      </c>
      <c r="K2" s="1" t="s">
        <v>16</v>
      </c>
      <c r="L2" s="1" t="s">
        <v>16</v>
      </c>
      <c r="M2" s="1" t="s">
        <v>16</v>
      </c>
      <c r="N2" s="1" t="s">
        <v>17</v>
      </c>
    </row>
    <row r="3" spans="1:14" x14ac:dyDescent="0.25">
      <c r="A3" s="1">
        <v>0</v>
      </c>
      <c r="B3" s="1" t="s">
        <v>8</v>
      </c>
      <c r="C3" s="1">
        <v>126</v>
      </c>
      <c r="E3" s="1">
        <v>0.254</v>
      </c>
      <c r="G3" s="1">
        <v>400</v>
      </c>
      <c r="I3" s="1">
        <v>5.5</v>
      </c>
      <c r="J3" s="1">
        <f>I3*5/18</f>
        <v>1.5277777777777777</v>
      </c>
      <c r="K3" s="1" t="s">
        <v>71</v>
      </c>
      <c r="L3" s="1">
        <v>24.75</v>
      </c>
    </row>
    <row r="4" spans="1:14" x14ac:dyDescent="0.25">
      <c r="A4" s="1">
        <v>1</v>
      </c>
      <c r="B4" s="1" t="s">
        <v>9</v>
      </c>
      <c r="C4" s="1">
        <v>149</v>
      </c>
      <c r="D4" s="1">
        <f>C4-C3</f>
        <v>23</v>
      </c>
      <c r="E4" s="1">
        <v>0.254</v>
      </c>
      <c r="F4" s="1">
        <f>5/D4</f>
        <v>0.21739130434782608</v>
      </c>
      <c r="G4" s="1">
        <v>400</v>
      </c>
      <c r="H4" s="1">
        <f>F4*86400*E4/G4</f>
        <v>11.926956521739131</v>
      </c>
      <c r="I4" s="1">
        <v>5.5</v>
      </c>
      <c r="J4" s="1">
        <f t="shared" ref="J4:J9" si="0">I4*5/18</f>
        <v>1.5277777777777777</v>
      </c>
      <c r="K4" s="1" t="s">
        <v>72</v>
      </c>
      <c r="L4" s="1">
        <v>24.74</v>
      </c>
    </row>
    <row r="5" spans="1:14" x14ac:dyDescent="0.25">
      <c r="A5" s="1">
        <v>2</v>
      </c>
      <c r="B5" s="1" t="s">
        <v>10</v>
      </c>
      <c r="C5" s="1">
        <v>171</v>
      </c>
      <c r="D5" s="1">
        <f t="shared" ref="D5:D9" si="1">C5-C4</f>
        <v>22</v>
      </c>
      <c r="E5" s="1">
        <v>0.254</v>
      </c>
      <c r="F5" s="1">
        <f t="shared" ref="F5:F9" si="2">5/D5</f>
        <v>0.22727272727272727</v>
      </c>
      <c r="G5" s="1">
        <v>400</v>
      </c>
      <c r="H5" s="1">
        <f t="shared" ref="H5:H9" si="3">F5*86400*E5/G5</f>
        <v>12.469090909090911</v>
      </c>
      <c r="I5" s="1">
        <v>5.5</v>
      </c>
      <c r="J5" s="1">
        <f t="shared" si="0"/>
        <v>1.5277777777777777</v>
      </c>
      <c r="K5" s="1" t="s">
        <v>73</v>
      </c>
      <c r="L5" s="1">
        <v>24.73</v>
      </c>
    </row>
    <row r="6" spans="1:14" x14ac:dyDescent="0.25">
      <c r="A6" s="1">
        <v>3</v>
      </c>
      <c r="B6" s="1" t="s">
        <v>11</v>
      </c>
      <c r="C6" s="1">
        <v>190</v>
      </c>
      <c r="D6" s="1">
        <f t="shared" si="1"/>
        <v>19</v>
      </c>
      <c r="E6" s="1">
        <v>0.254</v>
      </c>
      <c r="F6" s="1">
        <f t="shared" si="2"/>
        <v>0.26315789473684209</v>
      </c>
      <c r="G6" s="1">
        <v>400</v>
      </c>
      <c r="H6" s="1">
        <f t="shared" si="3"/>
        <v>14.437894736842104</v>
      </c>
      <c r="I6" s="1">
        <v>5.5</v>
      </c>
      <c r="J6" s="1">
        <f t="shared" si="0"/>
        <v>1.5277777777777777</v>
      </c>
      <c r="K6" s="1" t="s">
        <v>74</v>
      </c>
      <c r="L6" s="1">
        <v>24.68</v>
      </c>
      <c r="N6" s="1">
        <v>95</v>
      </c>
    </row>
    <row r="7" spans="1:14" x14ac:dyDescent="0.25">
      <c r="A7" s="1">
        <v>4</v>
      </c>
      <c r="B7" s="1" t="s">
        <v>12</v>
      </c>
      <c r="C7" s="1">
        <v>211</v>
      </c>
      <c r="D7" s="1">
        <f t="shared" si="1"/>
        <v>21</v>
      </c>
      <c r="E7" s="1">
        <v>0.254</v>
      </c>
      <c r="F7" s="1">
        <f t="shared" si="2"/>
        <v>0.23809523809523808</v>
      </c>
      <c r="G7" s="1">
        <v>400</v>
      </c>
      <c r="H7" s="1">
        <f t="shared" si="3"/>
        <v>13.062857142857142</v>
      </c>
      <c r="I7" s="1">
        <v>5.5</v>
      </c>
      <c r="J7" s="1">
        <f t="shared" si="0"/>
        <v>1.5277777777777777</v>
      </c>
      <c r="K7" s="1" t="s">
        <v>75</v>
      </c>
      <c r="L7" s="1">
        <v>24.68</v>
      </c>
    </row>
    <row r="8" spans="1:14" x14ac:dyDescent="0.25">
      <c r="A8" s="1">
        <v>5</v>
      </c>
      <c r="B8" s="1" t="s">
        <v>13</v>
      </c>
      <c r="C8" s="1">
        <v>230</v>
      </c>
      <c r="D8" s="1">
        <f t="shared" si="1"/>
        <v>19</v>
      </c>
      <c r="E8" s="1">
        <v>0.254</v>
      </c>
      <c r="F8" s="1">
        <f t="shared" si="2"/>
        <v>0.26315789473684209</v>
      </c>
      <c r="G8" s="1">
        <v>400</v>
      </c>
      <c r="H8" s="1">
        <f t="shared" si="3"/>
        <v>14.437894736842104</v>
      </c>
      <c r="I8" s="1">
        <v>5.5</v>
      </c>
      <c r="J8" s="1">
        <f t="shared" si="0"/>
        <v>1.5277777777777777</v>
      </c>
      <c r="K8" s="1" t="s">
        <v>76</v>
      </c>
      <c r="L8" s="1">
        <v>24.71</v>
      </c>
    </row>
    <row r="9" spans="1:14" x14ac:dyDescent="0.25">
      <c r="A9" s="1">
        <v>6</v>
      </c>
      <c r="B9" s="1" t="s">
        <v>14</v>
      </c>
      <c r="C9" s="1">
        <v>249</v>
      </c>
      <c r="D9" s="1">
        <f t="shared" si="1"/>
        <v>19</v>
      </c>
      <c r="E9" s="1">
        <v>0.254</v>
      </c>
      <c r="F9" s="1">
        <f t="shared" si="2"/>
        <v>0.26315789473684209</v>
      </c>
      <c r="G9" s="1">
        <v>400</v>
      </c>
      <c r="H9" s="1">
        <f t="shared" si="3"/>
        <v>14.437894736842104</v>
      </c>
      <c r="I9" s="1">
        <v>5.5</v>
      </c>
      <c r="J9" s="1">
        <f t="shared" si="0"/>
        <v>1.5277777777777777</v>
      </c>
      <c r="K9" s="1" t="s">
        <v>77</v>
      </c>
      <c r="L9" s="1">
        <v>24.71</v>
      </c>
    </row>
    <row r="11" spans="1:14" x14ac:dyDescent="0.25">
      <c r="C11" s="1" t="s">
        <v>18</v>
      </c>
      <c r="D11" s="1">
        <f>AVERAGE(D4:D9)</f>
        <v>20.5</v>
      </c>
      <c r="G11" s="1" t="s">
        <v>18</v>
      </c>
      <c r="H11" s="1">
        <f>AVERAGE(H4:H9)</f>
        <v>13.46209813070225</v>
      </c>
      <c r="K11" s="1" t="s">
        <v>18</v>
      </c>
      <c r="L11" s="1">
        <f>AVERAGE(L3:L9)</f>
        <v>24.714285714285719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/>
  </sheetViews>
  <sheetFormatPr defaultRowHeight="15" x14ac:dyDescent="0.25"/>
  <cols>
    <col min="1" max="7" width="9.140625" style="1"/>
    <col min="8" max="8" width="10.7109375" style="1" bestFit="1" customWidth="1"/>
    <col min="9" max="9" width="9.85546875" style="1" bestFit="1" customWidth="1"/>
    <col min="10" max="11" width="8.85546875" style="1" bestFit="1" customWidth="1"/>
    <col min="12" max="12" width="13.140625" style="1" bestFit="1" customWidth="1"/>
    <col min="13" max="13" width="8.85546875" style="1" bestFit="1" customWidth="1"/>
    <col min="14" max="16384" width="9.140625" style="1"/>
  </cols>
  <sheetData>
    <row r="1" spans="1:15" x14ac:dyDescent="0.25">
      <c r="A1" s="2" t="s">
        <v>31</v>
      </c>
      <c r="B1" s="2" t="s">
        <v>32</v>
      </c>
      <c r="C1" s="2" t="s">
        <v>81</v>
      </c>
      <c r="D1" s="2" t="s">
        <v>33</v>
      </c>
      <c r="E1" s="2" t="s">
        <v>34</v>
      </c>
      <c r="F1" s="2" t="s">
        <v>35</v>
      </c>
      <c r="G1" s="2" t="s">
        <v>36</v>
      </c>
      <c r="H1" s="2" t="s">
        <v>78</v>
      </c>
      <c r="I1" s="2" t="s">
        <v>39</v>
      </c>
      <c r="J1" s="2" t="s">
        <v>37</v>
      </c>
      <c r="K1" s="2" t="s">
        <v>38</v>
      </c>
      <c r="L1" s="2" t="s">
        <v>80</v>
      </c>
      <c r="M1" s="2" t="s">
        <v>40</v>
      </c>
      <c r="N1" s="2" t="s">
        <v>82</v>
      </c>
      <c r="O1" s="2" t="s">
        <v>83</v>
      </c>
    </row>
    <row r="2" spans="1:15" s="3" customFormat="1" x14ac:dyDescent="0.25">
      <c r="A2" s="3" t="s">
        <v>41</v>
      </c>
      <c r="B2" s="3" t="s">
        <v>41</v>
      </c>
      <c r="C2" s="3" t="s">
        <v>41</v>
      </c>
      <c r="D2" s="3" t="s">
        <v>28</v>
      </c>
      <c r="E2" s="3" t="s">
        <v>44</v>
      </c>
      <c r="H2" s="3" t="s">
        <v>42</v>
      </c>
      <c r="I2" s="3" t="s">
        <v>6</v>
      </c>
      <c r="J2" s="3" t="s">
        <v>43</v>
      </c>
      <c r="K2" s="3" t="s">
        <v>43</v>
      </c>
      <c r="L2" s="3" t="s">
        <v>43</v>
      </c>
      <c r="M2" s="3" t="s">
        <v>43</v>
      </c>
      <c r="N2" s="3" t="s">
        <v>17</v>
      </c>
      <c r="O2" s="3" t="s">
        <v>84</v>
      </c>
    </row>
    <row r="3" spans="1:15" s="3" customFormat="1" x14ac:dyDescent="0.25">
      <c r="A3" s="1">
        <v>26.24</v>
      </c>
      <c r="B3" s="1">
        <v>28.05</v>
      </c>
      <c r="C3" s="1">
        <f>-B3+A3</f>
        <v>-1.8100000000000023</v>
      </c>
      <c r="D3" s="1">
        <v>0</v>
      </c>
      <c r="E3" s="1">
        <v>0.02</v>
      </c>
      <c r="F3" s="1">
        <f t="shared" ref="F3:F8" si="0">D3*E3/(0.000016)</f>
        <v>0</v>
      </c>
      <c r="G3" s="1">
        <f t="shared" ref="G3:G8" si="1">2*0.332*F3^0.5*(0.71)^(1/3)</f>
        <v>0</v>
      </c>
      <c r="H3" s="1">
        <v>5</v>
      </c>
      <c r="I3" s="1">
        <v>4.6100000000000003</v>
      </c>
      <c r="J3" s="1">
        <f t="shared" ref="J3:J8" si="2">0.0000000567*0.96*((273.15+B3)^4-(273.15+A3)^4)</f>
        <v>10.671884245276498</v>
      </c>
      <c r="K3" s="1">
        <f>-H3*C3</f>
        <v>9.0500000000000114</v>
      </c>
      <c r="L3" s="1">
        <f>J3+K3</f>
        <v>19.72188424527651</v>
      </c>
      <c r="M3" s="1">
        <f t="shared" ref="M3:M8" si="3">(I3/(1000*86400))*(1000)*(2260*1000)</f>
        <v>120.58564814814815</v>
      </c>
      <c r="N3" s="3">
        <v>80</v>
      </c>
    </row>
    <row r="4" spans="1:15" s="3" customFormat="1" x14ac:dyDescent="0.25">
      <c r="A4" s="1">
        <v>25.99</v>
      </c>
      <c r="B4" s="1">
        <v>28.11</v>
      </c>
      <c r="C4" s="1">
        <f t="shared" ref="C4:C8" si="4">-B4+A4</f>
        <v>-2.120000000000001</v>
      </c>
      <c r="D4" s="1">
        <v>0.56000000000000005</v>
      </c>
      <c r="E4" s="1">
        <v>0.02</v>
      </c>
      <c r="F4" s="1">
        <f t="shared" si="0"/>
        <v>700.00000000000011</v>
      </c>
      <c r="G4" s="1">
        <f t="shared" si="1"/>
        <v>15.672437584932494</v>
      </c>
      <c r="H4" s="1">
        <f>G4*0.0267/E4</f>
        <v>20.922704175884881</v>
      </c>
      <c r="I4" s="1">
        <v>9.14</v>
      </c>
      <c r="J4" s="1">
        <f t="shared" si="2"/>
        <v>12.487848536379749</v>
      </c>
      <c r="K4" s="1">
        <f t="shared" ref="K4:K8" si="5">-H4*C4</f>
        <v>44.356132852875966</v>
      </c>
      <c r="L4" s="1">
        <f t="shared" ref="L4:L8" si="6">J4+K4</f>
        <v>56.843981389255717</v>
      </c>
      <c r="M4" s="1">
        <f t="shared" si="3"/>
        <v>239.0787037037037</v>
      </c>
      <c r="N4" s="3">
        <v>85</v>
      </c>
      <c r="O4" s="3">
        <f t="shared" ref="O4:O8" si="7">1000*5*E4/SQRT(F4)</f>
        <v>3.7796447300922718</v>
      </c>
    </row>
    <row r="5" spans="1:15" s="3" customFormat="1" x14ac:dyDescent="0.25">
      <c r="A5" s="1">
        <v>25.8</v>
      </c>
      <c r="B5" s="1">
        <v>28.16</v>
      </c>
      <c r="C5" s="1">
        <f t="shared" si="4"/>
        <v>-2.3599999999999994</v>
      </c>
      <c r="D5" s="1">
        <v>0.97</v>
      </c>
      <c r="E5" s="1">
        <v>0.02</v>
      </c>
      <c r="F5" s="1">
        <f t="shared" si="0"/>
        <v>1212.5</v>
      </c>
      <c r="G5" s="1">
        <f t="shared" si="1"/>
        <v>20.626635903001578</v>
      </c>
      <c r="H5" s="1">
        <f>G5*0.0267/E5</f>
        <v>27.536558930507109</v>
      </c>
      <c r="I5" s="1">
        <v>10.45</v>
      </c>
      <c r="J5" s="1">
        <f t="shared" si="2"/>
        <v>13.891886426667874</v>
      </c>
      <c r="K5" s="1">
        <f t="shared" si="5"/>
        <v>64.986279075996762</v>
      </c>
      <c r="L5" s="1">
        <f t="shared" si="6"/>
        <v>78.878165502664643</v>
      </c>
      <c r="M5" s="1">
        <f t="shared" si="3"/>
        <v>273.34490740740739</v>
      </c>
      <c r="N5" s="3">
        <v>87</v>
      </c>
      <c r="O5" s="3">
        <f t="shared" si="7"/>
        <v>2.8718326344709522</v>
      </c>
    </row>
    <row r="6" spans="1:15" s="3" customFormat="1" x14ac:dyDescent="0.25">
      <c r="A6" s="1">
        <v>25.04</v>
      </c>
      <c r="B6" s="1">
        <v>28.19</v>
      </c>
      <c r="C6" s="1">
        <f t="shared" si="4"/>
        <v>-3.1500000000000021</v>
      </c>
      <c r="D6" s="1">
        <v>1.1100000000000001</v>
      </c>
      <c r="E6" s="1">
        <v>0.02</v>
      </c>
      <c r="F6" s="1">
        <f t="shared" si="0"/>
        <v>1387.5000000000002</v>
      </c>
      <c r="G6" s="1">
        <f t="shared" si="1"/>
        <v>22.065004727812653</v>
      </c>
      <c r="H6" s="1">
        <f>G6*0.0267/E6</f>
        <v>29.456781311629893</v>
      </c>
      <c r="I6" s="1">
        <v>11.4</v>
      </c>
      <c r="J6" s="1">
        <f t="shared" si="2"/>
        <v>18.474793724306902</v>
      </c>
      <c r="K6" s="1">
        <f t="shared" si="5"/>
        <v>92.788861131634221</v>
      </c>
      <c r="L6" s="1">
        <f t="shared" ref="L6" si="8">J6+K6</f>
        <v>111.26365485594113</v>
      </c>
      <c r="M6" s="1">
        <f t="shared" si="3"/>
        <v>298.1944444444444</v>
      </c>
      <c r="N6" s="3">
        <v>90</v>
      </c>
      <c r="O6" s="3">
        <f t="shared" si="7"/>
        <v>2.6846242208560973</v>
      </c>
    </row>
    <row r="7" spans="1:15" x14ac:dyDescent="0.25">
      <c r="A7" s="1">
        <v>25.01</v>
      </c>
      <c r="B7" s="1">
        <v>28.17</v>
      </c>
      <c r="C7" s="1">
        <f t="shared" si="4"/>
        <v>-3.16</v>
      </c>
      <c r="D7" s="1">
        <v>1.25</v>
      </c>
      <c r="E7" s="1">
        <v>0.02</v>
      </c>
      <c r="F7" s="1">
        <f t="shared" si="0"/>
        <v>1562.5000000000002</v>
      </c>
      <c r="G7" s="1">
        <f t="shared" si="1"/>
        <v>23.415182224398681</v>
      </c>
      <c r="H7" s="1">
        <f>G7*0.0267/E7</f>
        <v>31.259268269572239</v>
      </c>
      <c r="I7" s="1">
        <v>14.09</v>
      </c>
      <c r="J7" s="1">
        <f t="shared" si="2"/>
        <v>18.528810595106155</v>
      </c>
      <c r="K7" s="1">
        <f t="shared" si="5"/>
        <v>98.779287731848285</v>
      </c>
      <c r="L7" s="1">
        <f t="shared" si="6"/>
        <v>117.30809832695444</v>
      </c>
      <c r="M7" s="1">
        <f t="shared" si="3"/>
        <v>368.55787037037032</v>
      </c>
      <c r="N7" s="1">
        <v>92</v>
      </c>
      <c r="O7" s="3">
        <f t="shared" si="7"/>
        <v>2.5298221281347031</v>
      </c>
    </row>
    <row r="8" spans="1:15" x14ac:dyDescent="0.25">
      <c r="A8" s="4">
        <v>24.71</v>
      </c>
      <c r="B8" s="1">
        <v>28.15</v>
      </c>
      <c r="C8" s="1">
        <f t="shared" si="4"/>
        <v>-3.4399999999999977</v>
      </c>
      <c r="D8" s="4">
        <v>1.53</v>
      </c>
      <c r="E8" s="1">
        <v>0.02</v>
      </c>
      <c r="F8" s="1">
        <f t="shared" si="0"/>
        <v>1912.5000000000002</v>
      </c>
      <c r="G8" s="1">
        <f t="shared" si="1"/>
        <v>25.905277619214935</v>
      </c>
      <c r="H8" s="1">
        <f>G8*0.0267/E8</f>
        <v>34.583545621651936</v>
      </c>
      <c r="I8" s="4">
        <v>13.46</v>
      </c>
      <c r="J8" s="1">
        <f t="shared" si="2"/>
        <v>20.138424479301605</v>
      </c>
      <c r="K8" s="1">
        <f t="shared" si="5"/>
        <v>118.96739693848258</v>
      </c>
      <c r="L8" s="1">
        <f t="shared" si="6"/>
        <v>139.10582141778417</v>
      </c>
      <c r="M8" s="1">
        <f t="shared" si="3"/>
        <v>352.0787037037037</v>
      </c>
      <c r="N8" s="1">
        <v>95</v>
      </c>
      <c r="O8" s="3">
        <f t="shared" si="7"/>
        <v>2.2866478019001177</v>
      </c>
    </row>
    <row r="9" spans="1:15" x14ac:dyDescent="0.25">
      <c r="O9" s="1" t="s">
        <v>30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/>
  </sheetViews>
  <sheetFormatPr defaultRowHeight="15" x14ac:dyDescent="0.25"/>
  <cols>
    <col min="1" max="3" width="9.140625" style="1"/>
    <col min="4" max="5" width="12" style="1" bestFit="1" customWidth="1"/>
    <col min="6" max="13" width="9.140625" style="1"/>
    <col min="14" max="14" width="12.7109375" style="1" bestFit="1" customWidth="1"/>
    <col min="15" max="15" width="14" style="1" bestFit="1" customWidth="1"/>
    <col min="16" max="16384" width="9.140625" style="1"/>
  </cols>
  <sheetData>
    <row r="1" spans="1:15" s="2" customFormat="1" x14ac:dyDescent="0.25">
      <c r="A1" s="2" t="s">
        <v>31</v>
      </c>
      <c r="B1" s="2" t="s">
        <v>32</v>
      </c>
      <c r="C1" s="2" t="s">
        <v>88</v>
      </c>
      <c r="D1" s="2" t="s">
        <v>87</v>
      </c>
      <c r="E1" s="2" t="s">
        <v>91</v>
      </c>
      <c r="F1" s="2" t="s">
        <v>86</v>
      </c>
      <c r="G1" s="2" t="s">
        <v>34</v>
      </c>
      <c r="H1" s="2" t="s">
        <v>35</v>
      </c>
      <c r="I1" s="2" t="s">
        <v>85</v>
      </c>
      <c r="J1" s="2" t="s">
        <v>89</v>
      </c>
      <c r="K1" s="2" t="s">
        <v>90</v>
      </c>
      <c r="L1" s="2" t="s">
        <v>92</v>
      </c>
      <c r="M1" s="2" t="s">
        <v>93</v>
      </c>
      <c r="N1" s="2" t="s">
        <v>94</v>
      </c>
      <c r="O1" s="2" t="s">
        <v>95</v>
      </c>
    </row>
    <row r="2" spans="1:15" x14ac:dyDescent="0.25">
      <c r="A2" s="1">
        <v>26.24</v>
      </c>
      <c r="B2" s="1">
        <v>28.05</v>
      </c>
      <c r="C2" s="3">
        <v>80</v>
      </c>
      <c r="D2" s="1">
        <f>(EXP(77.345+(0.0057*(273.15+A2))-(7235/(273.15+A2))))/((273.15+A2)^(8.2))</f>
        <v>3399.5325447912669</v>
      </c>
      <c r="E2" s="1">
        <f>(C2/100)*(EXP(77.345+(0.0057*(273.15+B2))-(7235/(273.15+B2))))/((273.15+B2)^(8.2))</f>
        <v>3024.07715969323</v>
      </c>
      <c r="F2" s="1">
        <v>0</v>
      </c>
      <c r="G2" s="1">
        <v>0.02</v>
      </c>
      <c r="H2" s="1">
        <f t="shared" ref="H2:H7" si="0">F2*G2/(0.000016)</f>
        <v>0</v>
      </c>
      <c r="I2" s="1">
        <v>0.01</v>
      </c>
      <c r="J2" s="5">
        <v>2.3920000000000001E-5</v>
      </c>
      <c r="K2" s="5">
        <f>I2/J2</f>
        <v>418.0602006688963</v>
      </c>
      <c r="L2" s="1">
        <f>0.018*(133.32*10^(8.07131-(1730.63/(233.426+A2)))/(8.314*(273.15+A2)))</f>
        <v>2.4580998736223991E-2</v>
      </c>
      <c r="M2" s="1">
        <f>(C2/100)*0.018*(133.32*10^(8.07131-(1730.63/(233.426+B2)))/(8.314*(273.15+B2)))</f>
        <v>2.1737390300075231E-2</v>
      </c>
      <c r="N2" s="6">
        <f>(L2-M2)/K2</f>
        <v>6.8019113792678351E-6</v>
      </c>
      <c r="O2" s="1">
        <f>(N2/1000)*86400*1000</f>
        <v>0.58768514316874099</v>
      </c>
    </row>
    <row r="3" spans="1:15" x14ac:dyDescent="0.25">
      <c r="A3" s="1">
        <v>25.99</v>
      </c>
      <c r="B3" s="1">
        <v>28.11</v>
      </c>
      <c r="C3" s="3">
        <v>85</v>
      </c>
      <c r="D3" s="1">
        <f t="shared" ref="D3:D7" si="1">(EXP(77.345+(0.0057*(273.15+A3))-(7235/(273.15+A3))))/((273.15+A3)^(8.2))</f>
        <v>3349.6872612850107</v>
      </c>
      <c r="E3" s="1">
        <f t="shared" ref="E3:E7" si="2">(C3/100)*(EXP(77.345+(0.0057*(273.15+B3))-(7235/(273.15+B3))))/((273.15+B3)^(8.2))</f>
        <v>3224.3240006798687</v>
      </c>
      <c r="F3" s="1">
        <v>0.56000000000000005</v>
      </c>
      <c r="G3" s="1">
        <v>0.02</v>
      </c>
      <c r="H3" s="1">
        <f t="shared" si="0"/>
        <v>700.00000000000011</v>
      </c>
      <c r="I3" s="1">
        <f t="shared" ref="I3:I7" si="3">5*G3*(H3^-0.5)</f>
        <v>3.7796447300922722E-3</v>
      </c>
      <c r="J3" s="5">
        <v>2.3920000000000001E-5</v>
      </c>
      <c r="K3" s="5">
        <f t="shared" ref="K3:K7" si="4">I3/J3</f>
        <v>158.01190343195117</v>
      </c>
      <c r="L3" s="1">
        <f t="shared" ref="L3:L7" si="5">0.018*(133.32*10^(8.07131-(1730.63/(233.426+A3)))/(8.314*(273.15+A3)))</f>
        <v>2.4240379082056666E-2</v>
      </c>
      <c r="M3" s="1">
        <f t="shared" ref="M3:M7" si="6">(C3/100)*0.018*(133.32*10^(8.07131-(1730.63/(233.426+B3)))/(8.314*(273.15+B3)))</f>
        <v>2.3172252845404803E-2</v>
      </c>
      <c r="N3" s="6">
        <f t="shared" ref="N3:N7" si="7">(L3-M3)/K3</f>
        <v>6.7597833672819421E-6</v>
      </c>
      <c r="O3" s="1">
        <f t="shared" ref="O3:O7" si="8">(N3/1000)*86400*1000</f>
        <v>0.58404528293315983</v>
      </c>
    </row>
    <row r="4" spans="1:15" x14ac:dyDescent="0.25">
      <c r="A4" s="1">
        <v>25.8</v>
      </c>
      <c r="B4" s="1">
        <v>28.16</v>
      </c>
      <c r="C4" s="3">
        <v>87</v>
      </c>
      <c r="D4" s="1">
        <f t="shared" si="1"/>
        <v>3312.2320733917218</v>
      </c>
      <c r="E4" s="1">
        <f t="shared" si="2"/>
        <v>3309.8059811620219</v>
      </c>
      <c r="F4" s="1">
        <v>0.97</v>
      </c>
      <c r="G4" s="1">
        <v>0.02</v>
      </c>
      <c r="H4" s="1">
        <f t="shared" si="0"/>
        <v>1212.5</v>
      </c>
      <c r="I4" s="1">
        <f t="shared" si="3"/>
        <v>2.8718326344709523E-3</v>
      </c>
      <c r="J4" s="5">
        <v>2.3920000000000001E-5</v>
      </c>
      <c r="K4" s="5">
        <f t="shared" si="4"/>
        <v>120.05989274544115</v>
      </c>
      <c r="L4" s="1">
        <f t="shared" si="5"/>
        <v>2.3984222003800636E-2</v>
      </c>
      <c r="M4" s="1">
        <f t="shared" si="6"/>
        <v>2.3782709468762726E-2</v>
      </c>
      <c r="N4" s="6">
        <f t="shared" si="7"/>
        <v>1.6784334087751586E-6</v>
      </c>
      <c r="O4" s="1">
        <f t="shared" si="8"/>
        <v>0.1450166465181737</v>
      </c>
    </row>
    <row r="5" spans="1:15" x14ac:dyDescent="0.25">
      <c r="A5" s="1">
        <v>25.04</v>
      </c>
      <c r="B5" s="1">
        <v>28.19</v>
      </c>
      <c r="C5" s="3">
        <v>90</v>
      </c>
      <c r="D5" s="1">
        <f t="shared" si="1"/>
        <v>3166.0376459269496</v>
      </c>
      <c r="E5" s="1">
        <f t="shared" si="2"/>
        <v>3429.9175845026866</v>
      </c>
      <c r="F5" s="1">
        <v>1.1100000000000001</v>
      </c>
      <c r="G5" s="1">
        <v>0.02</v>
      </c>
      <c r="H5" s="1">
        <f t="shared" si="0"/>
        <v>1387.5000000000002</v>
      </c>
      <c r="I5" s="1">
        <f t="shared" si="3"/>
        <v>2.6846242208560973E-3</v>
      </c>
      <c r="J5" s="5">
        <v>2.3920000000000001E-5</v>
      </c>
      <c r="K5" s="5">
        <f t="shared" si="4"/>
        <v>112.23345404916795</v>
      </c>
      <c r="L5" s="1">
        <f t="shared" si="5"/>
        <v>2.2982666536776566E-2</v>
      </c>
      <c r="M5" s="1">
        <f t="shared" si="6"/>
        <v>2.4643364912056938E-2</v>
      </c>
      <c r="N5" s="6">
        <f t="shared" si="7"/>
        <v>-1.4796821405432662E-5</v>
      </c>
      <c r="O5" s="1">
        <f t="shared" si="8"/>
        <v>-1.278445369429382</v>
      </c>
    </row>
    <row r="6" spans="1:15" x14ac:dyDescent="0.25">
      <c r="A6" s="1">
        <v>25.01</v>
      </c>
      <c r="B6" s="1">
        <v>28.17</v>
      </c>
      <c r="C6" s="1">
        <v>92</v>
      </c>
      <c r="D6" s="1">
        <f t="shared" si="1"/>
        <v>3160.3841681013087</v>
      </c>
      <c r="E6" s="1">
        <f t="shared" si="2"/>
        <v>3502.0614372395166</v>
      </c>
      <c r="F6" s="1">
        <v>1.25</v>
      </c>
      <c r="G6" s="1">
        <v>0.02</v>
      </c>
      <c r="H6" s="1">
        <f t="shared" si="0"/>
        <v>1562.5000000000002</v>
      </c>
      <c r="I6" s="1">
        <f t="shared" si="3"/>
        <v>2.5298221281347035E-3</v>
      </c>
      <c r="J6" s="5">
        <v>2.3920000000000001E-5</v>
      </c>
      <c r="K6" s="5">
        <f t="shared" si="4"/>
        <v>105.76179465446084</v>
      </c>
      <c r="L6" s="1">
        <f t="shared" si="5"/>
        <v>2.2943879132797974E-2</v>
      </c>
      <c r="M6" s="1">
        <f t="shared" si="6"/>
        <v>2.5163346486448426E-2</v>
      </c>
      <c r="N6" s="6">
        <f t="shared" si="7"/>
        <v>-2.0985530369466349E-5</v>
      </c>
      <c r="O6" s="1">
        <f t="shared" si="8"/>
        <v>-1.8131498239218926</v>
      </c>
    </row>
    <row r="7" spans="1:15" x14ac:dyDescent="0.25">
      <c r="A7" s="4">
        <v>24.71</v>
      </c>
      <c r="B7" s="1">
        <v>28.15</v>
      </c>
      <c r="C7" s="1">
        <v>95</v>
      </c>
      <c r="D7" s="1">
        <f t="shared" si="1"/>
        <v>3104.3318813216483</v>
      </c>
      <c r="E7" s="1">
        <f t="shared" si="2"/>
        <v>3612.0538847773919</v>
      </c>
      <c r="F7" s="4">
        <v>1.53</v>
      </c>
      <c r="G7" s="1">
        <v>0.02</v>
      </c>
      <c r="H7" s="1">
        <f t="shared" si="0"/>
        <v>1912.5000000000002</v>
      </c>
      <c r="I7" s="1">
        <f t="shared" si="3"/>
        <v>2.2866478019001181E-3</v>
      </c>
      <c r="J7" s="5">
        <v>2.3920000000000001E-5</v>
      </c>
      <c r="K7" s="5">
        <f t="shared" si="4"/>
        <v>95.595643892145404</v>
      </c>
      <c r="L7" s="1">
        <f t="shared" si="5"/>
        <v>2.2559083685521709E-2</v>
      </c>
      <c r="M7" s="1">
        <f t="shared" si="6"/>
        <v>2.5955366874790997E-2</v>
      </c>
      <c r="N7" s="6">
        <f t="shared" si="7"/>
        <v>-3.5527593632834377E-5</v>
      </c>
      <c r="O7" s="1">
        <f t="shared" si="8"/>
        <v>-3.0695840898768902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Fan Level 0</vt:lpstr>
      <vt:lpstr>Fan Level 1</vt:lpstr>
      <vt:lpstr>Fan Level 2</vt:lpstr>
      <vt:lpstr>Fan Level 3</vt:lpstr>
      <vt:lpstr>Fan Level 4</vt:lpstr>
      <vt:lpstr>Fan Level 5</vt:lpstr>
      <vt:lpstr>Heat Budget</vt:lpstr>
      <vt:lpstr>Evap Rate Prediction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2020-03-04T23:27:57Z</dcterms:modified>
</cp:coreProperties>
</file>