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cson\Desktop\Box Sync\Woochul Song (UT &amp; PSU)\PSU\WCSONG (research)\Experiment (project)\Singapore\Proton transport\20200903 (NaCl-2)\"/>
    </mc:Choice>
  </mc:AlternateContent>
  <xr:revisionPtr revIDLastSave="0" documentId="13_ncr:1_{D935334D-FF7C-4E30-9D43-7D8981119B56}" xr6:coauthVersionLast="45" xr6:coauthVersionMax="45" xr10:uidLastSave="{00000000-0000-0000-0000-000000000000}"/>
  <bookViews>
    <workbookView xWindow="-120" yWindow="-120" windowWidth="29040" windowHeight="15840" xr2:uid="{D98FAF6B-B2CE-4728-8214-99A5850AF767}"/>
  </bookViews>
  <sheets>
    <sheet name="Comparison" sheetId="6" r:id="rId1"/>
    <sheet name="DOPC" sheetId="2" r:id="rId2"/>
    <sheet name="channel D" sheetId="9" r:id="rId3"/>
    <sheet name="gA" sheetId="1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8" i="6" l="1"/>
  <c r="G18" i="6"/>
  <c r="H18" i="6"/>
  <c r="E18" i="6"/>
  <c r="U11" i="6" l="1"/>
  <c r="V11" i="6"/>
  <c r="W11" i="6"/>
  <c r="T11" i="6"/>
  <c r="M11" i="6"/>
  <c r="N11" i="6"/>
  <c r="O11" i="6"/>
  <c r="L11" i="6"/>
  <c r="F11" i="6"/>
  <c r="G11" i="6"/>
  <c r="H11" i="6"/>
  <c r="E11" i="6"/>
  <c r="V5" i="6"/>
  <c r="V6" i="6"/>
  <c r="V7" i="6" s="1"/>
  <c r="S4" i="6"/>
  <c r="S5" i="6"/>
  <c r="T20" i="6" l="1"/>
  <c r="F4" i="11" l="1"/>
  <c r="F4" i="9"/>
  <c r="F4" i="2"/>
  <c r="L20" i="6" l="1"/>
  <c r="U17" i="6" l="1"/>
  <c r="V17" i="6"/>
  <c r="W17" i="6"/>
  <c r="T17" i="6"/>
  <c r="M17" i="6"/>
  <c r="N17" i="6"/>
  <c r="O17" i="6"/>
  <c r="L17" i="6"/>
  <c r="H17" i="11"/>
  <c r="G17" i="11"/>
  <c r="F17" i="11"/>
  <c r="E17" i="11"/>
  <c r="C6" i="11"/>
  <c r="F5" i="11"/>
  <c r="C5" i="11"/>
  <c r="H18" i="11" s="1"/>
  <c r="H22" i="11" s="1"/>
  <c r="H23" i="11" s="1"/>
  <c r="F6" i="11"/>
  <c r="F7" i="11" s="1"/>
  <c r="C4" i="11"/>
  <c r="C3" i="11" s="1"/>
  <c r="F2" i="11" s="1"/>
  <c r="H17" i="9"/>
  <c r="H18" i="9" s="1"/>
  <c r="H22" i="9" s="1"/>
  <c r="H23" i="9" s="1"/>
  <c r="G17" i="9"/>
  <c r="G18" i="9" s="1"/>
  <c r="G22" i="9" s="1"/>
  <c r="G23" i="9" s="1"/>
  <c r="F17" i="9"/>
  <c r="F18" i="9" s="1"/>
  <c r="F22" i="9" s="1"/>
  <c r="F23" i="9" s="1"/>
  <c r="E17" i="9"/>
  <c r="F6" i="9"/>
  <c r="F7" i="9" s="1"/>
  <c r="C6" i="9"/>
  <c r="C3" i="9" s="1"/>
  <c r="F2" i="9" s="1"/>
  <c r="C5" i="9"/>
  <c r="F5" i="9"/>
  <c r="C4" i="9"/>
  <c r="E18" i="9" l="1"/>
  <c r="E22" i="9" s="1"/>
  <c r="E23" i="9" s="1"/>
  <c r="H12" i="11"/>
  <c r="H13" i="11" s="1"/>
  <c r="H19" i="11" s="1"/>
  <c r="H14" i="6" s="1"/>
  <c r="G12" i="11"/>
  <c r="G13" i="11" s="1"/>
  <c r="G19" i="11" s="1"/>
  <c r="G14" i="6" s="1"/>
  <c r="F12" i="11"/>
  <c r="F13" i="11" s="1"/>
  <c r="F19" i="11" s="1"/>
  <c r="F14" i="6" s="1"/>
  <c r="E12" i="11"/>
  <c r="E18" i="11"/>
  <c r="E22" i="11" s="1"/>
  <c r="E23" i="11" s="1"/>
  <c r="F18" i="11"/>
  <c r="F22" i="11" s="1"/>
  <c r="F23" i="11" s="1"/>
  <c r="G18" i="11"/>
  <c r="G22" i="11" s="1"/>
  <c r="G23" i="11" s="1"/>
  <c r="E12" i="9"/>
  <c r="E13" i="9" s="1"/>
  <c r="E19" i="9" s="1"/>
  <c r="H12" i="9"/>
  <c r="H13" i="9" s="1"/>
  <c r="H19" i="9" s="1"/>
  <c r="G12" i="9"/>
  <c r="G13" i="9" s="1"/>
  <c r="G19" i="9" s="1"/>
  <c r="F12" i="9"/>
  <c r="F13" i="9" s="1"/>
  <c r="F19" i="9" s="1"/>
  <c r="G24" i="11" l="1"/>
  <c r="H24" i="11"/>
  <c r="F24" i="11"/>
  <c r="G24" i="9"/>
  <c r="G13" i="6"/>
  <c r="H24" i="9"/>
  <c r="H13" i="6"/>
  <c r="F24" i="9"/>
  <c r="F13" i="6"/>
  <c r="E24" i="9"/>
  <c r="E13" i="6"/>
  <c r="E13" i="11"/>
  <c r="E19" i="11" s="1"/>
  <c r="E14" i="6" s="1"/>
  <c r="E17" i="2"/>
  <c r="E24" i="11" l="1"/>
  <c r="C4" i="2"/>
  <c r="C6" i="2"/>
  <c r="S12" i="6" l="1"/>
  <c r="K12" i="6"/>
  <c r="K13" i="6" s="1"/>
  <c r="K14" i="6" s="1"/>
  <c r="S13" i="6" l="1"/>
  <c r="S14" i="6" s="1"/>
  <c r="F17" i="2"/>
  <c r="G17" i="2"/>
  <c r="H17" i="2"/>
  <c r="F6" i="2"/>
  <c r="F7" i="2" s="1"/>
  <c r="F5" i="2"/>
  <c r="C5" i="2"/>
  <c r="G18" i="2" l="1"/>
  <c r="F18" i="2"/>
  <c r="F22" i="2" s="1"/>
  <c r="H18" i="2"/>
  <c r="H22" i="2" s="1"/>
  <c r="H23" i="2" s="1"/>
  <c r="E18" i="2"/>
  <c r="C3" i="2"/>
  <c r="F2" i="2" s="1"/>
  <c r="H12" i="2" s="1"/>
  <c r="H13" i="2" s="1"/>
  <c r="F23" i="2"/>
  <c r="E22" i="2" l="1"/>
  <c r="E23" i="2" s="1"/>
  <c r="G22" i="2"/>
  <c r="G23" i="2" s="1"/>
  <c r="F12" i="2"/>
  <c r="F13" i="2" s="1"/>
  <c r="F19" i="2" s="1"/>
  <c r="G12" i="2"/>
  <c r="G13" i="2" s="1"/>
  <c r="G19" i="2" s="1"/>
  <c r="E12" i="2"/>
  <c r="E13" i="2" s="1"/>
  <c r="E19" i="2" s="1"/>
  <c r="H19" i="2"/>
  <c r="H24" i="2" l="1"/>
  <c r="H12" i="6"/>
  <c r="E24" i="2"/>
  <c r="E12" i="6"/>
  <c r="G24" i="2"/>
  <c r="G12" i="6"/>
  <c r="F24" i="2"/>
  <c r="F12" i="6"/>
  <c r="F19" i="6" l="1"/>
  <c r="U12" i="6"/>
  <c r="U13" i="6" s="1"/>
  <c r="M12" i="6"/>
  <c r="M13" i="6" s="1"/>
  <c r="G19" i="6"/>
  <c r="N12" i="6"/>
  <c r="N13" i="6" s="1"/>
  <c r="V12" i="6"/>
  <c r="V13" i="6" s="1"/>
  <c r="L12" i="6"/>
  <c r="L13" i="6" s="1"/>
  <c r="E19" i="6"/>
  <c r="T12" i="6"/>
  <c r="T13" i="6" s="1"/>
  <c r="H19" i="6"/>
  <c r="O12" i="6"/>
  <c r="O13" i="6" s="1"/>
  <c r="W12" i="6"/>
  <c r="W13" i="6" s="1"/>
  <c r="O18" i="6" l="1"/>
  <c r="O14" i="6"/>
  <c r="M18" i="6"/>
  <c r="M14" i="6"/>
  <c r="U14" i="6"/>
  <c r="U18" i="6"/>
  <c r="T18" i="6"/>
  <c r="T14" i="6"/>
  <c r="L18" i="6"/>
  <c r="L14" i="6"/>
  <c r="V18" i="6"/>
  <c r="V14" i="6"/>
  <c r="N14" i="6"/>
  <c r="N18" i="6"/>
  <c r="W18" i="6"/>
  <c r="W14" i="6"/>
</calcChain>
</file>

<file path=xl/sharedStrings.xml><?xml version="1.0" encoding="utf-8"?>
<sst xmlns="http://schemas.openxmlformats.org/spreadsheetml/2006/main" count="97" uniqueCount="40">
  <si>
    <t>Ka (HEPES)</t>
  </si>
  <si>
    <t>C (10mM HEPES)</t>
  </si>
  <si>
    <t>Kw</t>
  </si>
  <si>
    <t>d[H+]/dt @ t=0</t>
  </si>
  <si>
    <t>b/a</t>
  </si>
  <si>
    <t>dF/dt @ t=0</t>
  </si>
  <si>
    <t>Vesicle diameter (m)</t>
  </si>
  <si>
    <t>Membrane surface area (m2)</t>
  </si>
  <si>
    <t>Vesicle volume (m3)</t>
  </si>
  <si>
    <t>Vesicle volume (L)</t>
  </si>
  <si>
    <t>pH</t>
  </si>
  <si>
    <t>[H+] outside</t>
  </si>
  <si>
    <t>[H+] flux (mole/s*m2)</t>
  </si>
  <si>
    <t>H+ flux (mole/s)</t>
  </si>
  <si>
    <t>DOPC</t>
  </si>
  <si>
    <t>gA</t>
  </si>
  <si>
    <t>channel D</t>
  </si>
  <si>
    <t>channel D density (number/m2)</t>
  </si>
  <si>
    <t>H+ flux (mole/s*m2)</t>
  </si>
  <si>
    <t>H+ flux by channel (mole/s*m2)</t>
  </si>
  <si>
    <t>channel D single channel</t>
  </si>
  <si>
    <t>gA single channel</t>
  </si>
  <si>
    <t>area of Lipid (m2)</t>
    <phoneticPr fontId="0" type="noConversion"/>
  </si>
  <si>
    <t>Number of lipids per vesicle</t>
  </si>
  <si>
    <t>gA density (number/m2)</t>
  </si>
  <si>
    <t>H+ flux by single channel (mole/s*channel)</t>
  </si>
  <si>
    <t>H+ flux by single channel (number /s*channel)</t>
  </si>
  <si>
    <t>Number of gA (dimer) per vesicle</t>
  </si>
  <si>
    <t>[H+] gradient (mole/cm3))</t>
  </si>
  <si>
    <t>Single channel permeability (cm3/s)</t>
  </si>
  <si>
    <t>(moles/s cm2)</t>
  </si>
  <si>
    <t>gradient</t>
  </si>
  <si>
    <t>(mol/cm3)</t>
  </si>
  <si>
    <t>H+ gradient (mol/L)</t>
  </si>
  <si>
    <t>H+ gradient (mol/cm3)</t>
  </si>
  <si>
    <t>[H+] flux (mole/s*cm2)</t>
  </si>
  <si>
    <t>[H+] (M)</t>
  </si>
  <si>
    <t>b (buffer capacity, 10 mM HEPES @ pH 7)</t>
  </si>
  <si>
    <t>a dF/dpH (slope)</t>
  </si>
  <si>
    <t>[H+] gradient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</si>
</sst>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1" fontId="0" fillId="0" borderId="0" xfId="0" applyNumberFormat="1"/>
    <xf numFmtId="0" fontId="0" fillId="3" borderId="0" xfId="0" applyFill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13267325090011"/>
          <c:y val="5.0925925925925923E-2"/>
          <c:w val="0.76731817714485528"/>
          <c:h val="0.8416746864975212"/>
        </c:manualLayout>
      </c:layout>
      <c:scatterChart>
        <c:scatterStyle val="lineMarker"/>
        <c:varyColors val="0"/>
        <c:ser>
          <c:idx val="1"/>
          <c:order val="0"/>
          <c:spPr>
            <a:ln w="19050">
              <a:noFill/>
            </a:ln>
          </c:spPr>
          <c:xVal>
            <c:numRef>
              <c:f>Comparison!$K$11:$O$11</c:f>
              <c:numCache>
                <c:formatCode>0.00E+00</c:formatCode>
                <c:ptCount val="5"/>
                <c:pt idx="0" formatCode="General">
                  <c:v>0</c:v>
                </c:pt>
                <c:pt idx="1">
                  <c:v>3.6904265551980818E-8</c:v>
                </c:pt>
                <c:pt idx="2">
                  <c:v>6.2846477090282743E-8</c:v>
                </c:pt>
                <c:pt idx="3">
                  <c:v>7.3697320081046241E-8</c:v>
                </c:pt>
                <c:pt idx="4">
                  <c:v>7.9107038691459624E-8</c:v>
                </c:pt>
              </c:numCache>
            </c:numRef>
          </c:xVal>
          <c:yVal>
            <c:numRef>
              <c:f>Comparison!$K$13:$O$13</c:f>
              <c:numCache>
                <c:formatCode>General</c:formatCode>
                <c:ptCount val="5"/>
                <c:pt idx="0">
                  <c:v>0</c:v>
                </c:pt>
                <c:pt idx="1">
                  <c:v>6.2501449044836471E-26</c:v>
                </c:pt>
                <c:pt idx="2">
                  <c:v>1.5630080782209904E-25</c:v>
                </c:pt>
                <c:pt idx="3">
                  <c:v>1.3267714724510024E-25</c:v>
                </c:pt>
                <c:pt idx="4">
                  <c:v>2.4273601186632996E-25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1E6-44C3-8463-DBE9D57EDA73}"/>
            </c:ext>
          </c:extLst>
        </c:ser>
        <c:ser>
          <c:idx val="0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Comparison!$S$11:$W$11</c:f>
              <c:numCache>
                <c:formatCode>0.00E+00</c:formatCode>
                <c:ptCount val="5"/>
                <c:pt idx="0" formatCode="General">
                  <c:v>0</c:v>
                </c:pt>
                <c:pt idx="1">
                  <c:v>3.6904265551980818E-8</c:v>
                </c:pt>
                <c:pt idx="2">
                  <c:v>6.2846477090282743E-8</c:v>
                </c:pt>
                <c:pt idx="3">
                  <c:v>7.3697320081046241E-8</c:v>
                </c:pt>
                <c:pt idx="4">
                  <c:v>7.9107038691459624E-8</c:v>
                </c:pt>
              </c:numCache>
            </c:numRef>
          </c:xVal>
          <c:yVal>
            <c:numRef>
              <c:f>Comparison!$S$13:$W$13</c:f>
              <c:numCache>
                <c:formatCode>General</c:formatCode>
                <c:ptCount val="5"/>
                <c:pt idx="0">
                  <c:v>0</c:v>
                </c:pt>
                <c:pt idx="1">
                  <c:v>1.3636190408879553E-23</c:v>
                </c:pt>
                <c:pt idx="2">
                  <c:v>2.1333692816397579E-23</c:v>
                </c:pt>
                <c:pt idx="3">
                  <c:v>2.6963717902425902E-23</c:v>
                </c:pt>
                <c:pt idx="4">
                  <c:v>2.8321509795930549E-23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1E6-44C3-8463-DBE9D57EDA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6510544"/>
        <c:axId val="546514064"/>
      </c:scatterChart>
      <c:valAx>
        <c:axId val="546510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514064"/>
        <c:crosses val="autoZero"/>
        <c:crossBetween val="midCat"/>
      </c:valAx>
      <c:valAx>
        <c:axId val="5465140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510544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469598021452969"/>
          <c:y val="0.16245370370370371"/>
          <c:w val="0.75233475932141958"/>
          <c:h val="0.7773611111111110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gA!$E$23:$H$23</c:f>
              <c:numCache>
                <c:formatCode>General</c:formatCode>
                <c:ptCount val="4"/>
                <c:pt idx="0">
                  <c:v>3.6904265551980818E-11</c:v>
                </c:pt>
                <c:pt idx="1">
                  <c:v>6.2846477090282741E-11</c:v>
                </c:pt>
                <c:pt idx="2">
                  <c:v>7.3697320081046244E-11</c:v>
                </c:pt>
                <c:pt idx="3">
                  <c:v>7.910703869145963E-11</c:v>
                </c:pt>
              </c:numCache>
            </c:numRef>
          </c:xVal>
          <c:yVal>
            <c:numRef>
              <c:f>gA!$E$24:$H$24</c:f>
              <c:numCache>
                <c:formatCode>General</c:formatCode>
                <c:ptCount val="4"/>
                <c:pt idx="0">
                  <c:v>7.5818978705801474E-13</c:v>
                </c:pt>
                <c:pt idx="1">
                  <c:v>1.2041436546119163E-12</c:v>
                </c:pt>
                <c:pt idx="2">
                  <c:v>1.5261823297283677E-12</c:v>
                </c:pt>
                <c:pt idx="3">
                  <c:v>1.61966607208307E-12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AD-4C61-A7B6-DFC8724DDA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1992184"/>
        <c:axId val="631992824"/>
      </c:scatterChart>
      <c:valAx>
        <c:axId val="631992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992824"/>
        <c:crosses val="autoZero"/>
        <c:crossBetween val="midCat"/>
      </c:valAx>
      <c:valAx>
        <c:axId val="631992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992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spPr>
            <a:ln w="19050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Comparison!$L$11:$O$11</c:f>
              <c:numCache>
                <c:formatCode>0.00E+00</c:formatCode>
                <c:ptCount val="4"/>
                <c:pt idx="0">
                  <c:v>3.6904265551980818E-8</c:v>
                </c:pt>
                <c:pt idx="1">
                  <c:v>6.2846477090282743E-8</c:v>
                </c:pt>
                <c:pt idx="2">
                  <c:v>7.3697320081046241E-8</c:v>
                </c:pt>
                <c:pt idx="3">
                  <c:v>7.9107038691459624E-8</c:v>
                </c:pt>
              </c:numCache>
            </c:numRef>
          </c:xVal>
          <c:yVal>
            <c:numRef>
              <c:f>Comparison!$L$13:$O$13</c:f>
              <c:numCache>
                <c:formatCode>General</c:formatCode>
                <c:ptCount val="4"/>
                <c:pt idx="0">
                  <c:v>6.2501449044836471E-26</c:v>
                </c:pt>
                <c:pt idx="1">
                  <c:v>1.5630080782209904E-25</c:v>
                </c:pt>
                <c:pt idx="2">
                  <c:v>1.3267714724510024E-25</c:v>
                </c:pt>
                <c:pt idx="3">
                  <c:v>2.4273601186632996E-25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9E-458E-990E-7A27E29449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6510544"/>
        <c:axId val="546514064"/>
      </c:scatterChart>
      <c:valAx>
        <c:axId val="546510544"/>
        <c:scaling>
          <c:orientation val="minMax"/>
        </c:scaling>
        <c:delete val="0"/>
        <c:axPos val="b"/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514064"/>
        <c:crosses val="autoZero"/>
        <c:crossBetween val="midCat"/>
      </c:valAx>
      <c:valAx>
        <c:axId val="5465140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510544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Comparison!$L$17:$O$17</c:f>
              <c:numCache>
                <c:formatCode>General</c:formatCode>
                <c:ptCount val="4"/>
                <c:pt idx="0">
                  <c:v>3.6904265551980818E-11</c:v>
                </c:pt>
                <c:pt idx="1">
                  <c:v>6.2846477090282741E-11</c:v>
                </c:pt>
                <c:pt idx="2">
                  <c:v>7.3697320081046244E-11</c:v>
                </c:pt>
                <c:pt idx="3">
                  <c:v>7.910703869145963E-11</c:v>
                </c:pt>
              </c:numCache>
            </c:numRef>
          </c:xVal>
          <c:yVal>
            <c:numRef>
              <c:f>Comparison!$L$18:$O$18</c:f>
              <c:numCache>
                <c:formatCode>General</c:formatCode>
                <c:ptCount val="4"/>
                <c:pt idx="0">
                  <c:v>6.2501449044836471E-26</c:v>
                </c:pt>
                <c:pt idx="1">
                  <c:v>1.5630080782209904E-25</c:v>
                </c:pt>
                <c:pt idx="2">
                  <c:v>1.3267714724510024E-25</c:v>
                </c:pt>
                <c:pt idx="3">
                  <c:v>2.4273601186632996E-25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4C-4DAB-B511-0856FB36B4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204112"/>
        <c:axId val="543209232"/>
      </c:scatterChart>
      <c:valAx>
        <c:axId val="5432041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H+</a:t>
                </a:r>
                <a:r>
                  <a:rPr lang="en-US" baseline="0"/>
                  <a:t> gradient (moles / cm3)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209232"/>
        <c:crosses val="autoZero"/>
        <c:crossBetween val="midCat"/>
      </c:valAx>
      <c:valAx>
        <c:axId val="5432092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Single channel permeation</a:t>
                </a:r>
              </a:p>
              <a:p>
                <a:pPr>
                  <a:defRPr/>
                </a:pPr>
                <a:r>
                  <a:rPr lang="en-US"/>
                  <a:t>(moles / s</a:t>
                </a:r>
                <a:r>
                  <a:rPr lang="en-US" baseline="0"/>
                  <a:t> / channel)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204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188029939090398"/>
                  <c:y val="-4.2593814304643738E-3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Comparison!$T$17:$W$17</c:f>
              <c:numCache>
                <c:formatCode>General</c:formatCode>
                <c:ptCount val="4"/>
                <c:pt idx="0">
                  <c:v>3.6904265551980818E-11</c:v>
                </c:pt>
                <c:pt idx="1">
                  <c:v>6.2846477090282741E-11</c:v>
                </c:pt>
                <c:pt idx="2">
                  <c:v>7.3697320081046244E-11</c:v>
                </c:pt>
                <c:pt idx="3">
                  <c:v>7.910703869145963E-11</c:v>
                </c:pt>
              </c:numCache>
            </c:numRef>
          </c:xVal>
          <c:yVal>
            <c:numRef>
              <c:f>Comparison!$T$18:$W$18</c:f>
              <c:numCache>
                <c:formatCode>General</c:formatCode>
                <c:ptCount val="4"/>
                <c:pt idx="0">
                  <c:v>1.3636190408879553E-23</c:v>
                </c:pt>
                <c:pt idx="1">
                  <c:v>2.1333692816397579E-23</c:v>
                </c:pt>
                <c:pt idx="2">
                  <c:v>2.6963717902425902E-23</c:v>
                </c:pt>
                <c:pt idx="3">
                  <c:v>2.8321509795930549E-23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DF7-43DF-A046-ED86C7161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204112"/>
        <c:axId val="543209232"/>
      </c:scatterChart>
      <c:valAx>
        <c:axId val="5432041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Proton gradient</a:t>
                </a:r>
                <a:r>
                  <a:rPr lang="en-US" baseline="0"/>
                  <a:t> (moles / cm3)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209232"/>
        <c:crosses val="autoZero"/>
        <c:crossBetween val="midCat"/>
      </c:valAx>
      <c:valAx>
        <c:axId val="5432092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Single channel permeation</a:t>
                </a:r>
              </a:p>
              <a:p>
                <a:pPr>
                  <a:defRPr/>
                </a:pPr>
                <a:r>
                  <a:rPr lang="en-US"/>
                  <a:t>(moles / s</a:t>
                </a:r>
                <a:r>
                  <a:rPr lang="en-US" baseline="0"/>
                  <a:t> / channel)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204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Comparison!$D$11:$H$11</c:f>
              <c:numCache>
                <c:formatCode>General</c:formatCode>
                <c:ptCount val="5"/>
                <c:pt idx="0">
                  <c:v>0</c:v>
                </c:pt>
                <c:pt idx="1">
                  <c:v>3.6904265551980818E-8</c:v>
                </c:pt>
                <c:pt idx="2">
                  <c:v>6.2846477090282743E-8</c:v>
                </c:pt>
                <c:pt idx="3">
                  <c:v>7.3697320081046241E-8</c:v>
                </c:pt>
                <c:pt idx="4">
                  <c:v>7.9107038691459624E-8</c:v>
                </c:pt>
              </c:numCache>
            </c:numRef>
          </c:xVal>
          <c:yVal>
            <c:numRef>
              <c:f>Comparison!$D$12:$H$12</c:f>
              <c:numCache>
                <c:formatCode>General</c:formatCode>
                <c:ptCount val="5"/>
                <c:pt idx="0">
                  <c:v>0</c:v>
                </c:pt>
                <c:pt idx="1">
                  <c:v>6.2365323137283491E-12</c:v>
                </c:pt>
                <c:pt idx="2">
                  <c:v>1.8938498145384244E-10</c:v>
                </c:pt>
                <c:pt idx="3">
                  <c:v>2.8198001815817688E-10</c:v>
                </c:pt>
                <c:pt idx="4">
                  <c:v>4.624886119803962E-10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52-418D-A4C4-7C452DC27655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Comparison!$D$11:$H$11</c:f>
              <c:numCache>
                <c:formatCode>General</c:formatCode>
                <c:ptCount val="5"/>
                <c:pt idx="0">
                  <c:v>0</c:v>
                </c:pt>
                <c:pt idx="1">
                  <c:v>3.6904265551980818E-8</c:v>
                </c:pt>
                <c:pt idx="2">
                  <c:v>6.2846477090282743E-8</c:v>
                </c:pt>
                <c:pt idx="3">
                  <c:v>7.3697320081046241E-8</c:v>
                </c:pt>
                <c:pt idx="4">
                  <c:v>7.9107038691459624E-8</c:v>
                </c:pt>
              </c:numCache>
            </c:numRef>
          </c:xVal>
          <c:yVal>
            <c:numRef>
              <c:f>Comparison!$D$13:$H$13</c:f>
              <c:numCache>
                <c:formatCode>General</c:formatCode>
                <c:ptCount val="5"/>
                <c:pt idx="0">
                  <c:v>0</c:v>
                </c:pt>
                <c:pt idx="1">
                  <c:v>1.9161176762615293E-11</c:v>
                </c:pt>
                <c:pt idx="2">
                  <c:v>2.2170634998283864E-10</c:v>
                </c:pt>
                <c:pt idx="3">
                  <c:v>3.094162613308015E-10</c:v>
                </c:pt>
                <c:pt idx="4">
                  <c:v>5.1268387459042847E-10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B52-418D-A4C4-7C452DC276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211472"/>
        <c:axId val="543216912"/>
      </c:scatterChart>
      <c:valAx>
        <c:axId val="543211472"/>
        <c:scaling>
          <c:orientation val="minMax"/>
          <c:max val="8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/>
                  <a:t>Proton grardient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3216912"/>
        <c:crosses val="autoZero"/>
        <c:crossBetween val="midCat"/>
        <c:majorUnit val="20"/>
        <c:minorUnit val="10"/>
      </c:valAx>
      <c:valAx>
        <c:axId val="54321691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>
                    <a:latin typeface="Arial" panose="020B0604020202020204" pitchFamily="34" charset="0"/>
                    <a:cs typeface="Arial" panose="020B0604020202020204" pitchFamily="34" charset="0"/>
                  </a:rPr>
                  <a:t>Proton flux (moles ∙ s</a:t>
                </a:r>
                <a:r>
                  <a:rPr lang="en-US" sz="120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-1 </a:t>
                </a:r>
                <a:r>
                  <a:rPr lang="en-US" sz="1200">
                    <a:latin typeface="Arial" panose="020B0604020202020204" pitchFamily="34" charset="0"/>
                    <a:cs typeface="Arial" panose="020B0604020202020204" pitchFamily="34" charset="0"/>
                  </a:rPr>
                  <a:t>∙ m</a:t>
                </a:r>
                <a:r>
                  <a:rPr lang="en-US" sz="120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-2</a:t>
                </a:r>
                <a:r>
                  <a:rPr lang="en-US" sz="1200"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7315875861338658E-2"/>
              <c:y val="9.141664249095694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3211472"/>
        <c:crosses val="autoZero"/>
        <c:crossBetween val="midCat"/>
        <c:dispUnits>
          <c:custUnit val="1.0000000000000006E-12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</c:dispUnitsLbl>
        </c:dispUnits>
      </c:valAx>
      <c:spPr>
        <a:noFill/>
        <a:ln w="635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395795759897298"/>
          <c:y val="0.13737045049311783"/>
          <c:w val="0.80448104912829632"/>
          <c:h val="0.8218887850036658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Comparison!$E$18:$H$18</c:f>
              <c:numCache>
                <c:formatCode>General</c:formatCode>
                <c:ptCount val="4"/>
                <c:pt idx="0">
                  <c:v>3.6904265551980818E-11</c:v>
                </c:pt>
                <c:pt idx="1">
                  <c:v>6.2846477090282741E-11</c:v>
                </c:pt>
                <c:pt idx="2">
                  <c:v>7.3697320081046244E-11</c:v>
                </c:pt>
                <c:pt idx="3">
                  <c:v>7.910703869145963E-11</c:v>
                </c:pt>
              </c:numCache>
            </c:numRef>
          </c:xVal>
          <c:yVal>
            <c:numRef>
              <c:f>Comparison!$E$19:$H$19</c:f>
              <c:numCache>
                <c:formatCode>General</c:formatCode>
                <c:ptCount val="4"/>
                <c:pt idx="0">
                  <c:v>6.2365323137283491E-16</c:v>
                </c:pt>
                <c:pt idx="1">
                  <c:v>1.8938498145384242E-14</c:v>
                </c:pt>
                <c:pt idx="2">
                  <c:v>2.8198001815817689E-14</c:v>
                </c:pt>
                <c:pt idx="3">
                  <c:v>4.6248861198039619E-14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61-4305-B2E4-53992E894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3800120"/>
        <c:axId val="553798520"/>
      </c:scatterChart>
      <c:valAx>
        <c:axId val="55380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798520"/>
        <c:crosses val="autoZero"/>
        <c:crossBetween val="midCat"/>
      </c:valAx>
      <c:valAx>
        <c:axId val="5537985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800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86434829626712"/>
          <c:y val="8.1983402810617098E-2"/>
          <c:w val="0.69192100917690358"/>
          <c:h val="0.84330013424670613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Comparison!$D$11:$H$11</c:f>
              <c:numCache>
                <c:formatCode>General</c:formatCode>
                <c:ptCount val="5"/>
                <c:pt idx="0">
                  <c:v>0</c:v>
                </c:pt>
                <c:pt idx="1">
                  <c:v>3.6904265551980818E-8</c:v>
                </c:pt>
                <c:pt idx="2">
                  <c:v>6.2846477090282743E-8</c:v>
                </c:pt>
                <c:pt idx="3">
                  <c:v>7.3697320081046241E-8</c:v>
                </c:pt>
                <c:pt idx="4">
                  <c:v>7.9107038691459624E-8</c:v>
                </c:pt>
              </c:numCache>
            </c:numRef>
          </c:xVal>
          <c:yVal>
            <c:numRef>
              <c:f>Comparison!$D$12:$H$12</c:f>
              <c:numCache>
                <c:formatCode>General</c:formatCode>
                <c:ptCount val="5"/>
                <c:pt idx="0">
                  <c:v>0</c:v>
                </c:pt>
                <c:pt idx="1">
                  <c:v>6.2365323137283491E-12</c:v>
                </c:pt>
                <c:pt idx="2">
                  <c:v>1.8938498145384244E-10</c:v>
                </c:pt>
                <c:pt idx="3">
                  <c:v>2.8198001815817688E-10</c:v>
                </c:pt>
                <c:pt idx="4">
                  <c:v>4.624886119803962E-10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7D-459B-8BBB-56BF337DD851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Comparison!$D$11:$H$11</c:f>
              <c:numCache>
                <c:formatCode>General</c:formatCode>
                <c:ptCount val="5"/>
                <c:pt idx="0">
                  <c:v>0</c:v>
                </c:pt>
                <c:pt idx="1">
                  <c:v>3.6904265551980818E-8</c:v>
                </c:pt>
                <c:pt idx="2">
                  <c:v>6.2846477090282743E-8</c:v>
                </c:pt>
                <c:pt idx="3">
                  <c:v>7.3697320081046241E-8</c:v>
                </c:pt>
                <c:pt idx="4">
                  <c:v>7.9107038691459624E-8</c:v>
                </c:pt>
              </c:numCache>
            </c:numRef>
          </c:xVal>
          <c:yVal>
            <c:numRef>
              <c:f>Comparison!$D$13:$H$13</c:f>
              <c:numCache>
                <c:formatCode>General</c:formatCode>
                <c:ptCount val="5"/>
                <c:pt idx="0">
                  <c:v>0</c:v>
                </c:pt>
                <c:pt idx="1">
                  <c:v>1.9161176762615293E-11</c:v>
                </c:pt>
                <c:pt idx="2">
                  <c:v>2.2170634998283864E-10</c:v>
                </c:pt>
                <c:pt idx="3">
                  <c:v>3.094162613308015E-10</c:v>
                </c:pt>
                <c:pt idx="4">
                  <c:v>5.1268387459042847E-10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07D-459B-8BBB-56BF337DD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427120"/>
        <c:axId val="491427760"/>
      </c:scatterChart>
      <c:valAx>
        <c:axId val="491427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Proton concentration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27760"/>
        <c:crosses val="autoZero"/>
        <c:crossBetween val="midCat"/>
      </c:valAx>
      <c:valAx>
        <c:axId val="4914277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H+</a:t>
                </a:r>
                <a:r>
                  <a:rPr lang="en-US" baseline="0"/>
                  <a:t> flux (mole/s m</a:t>
                </a:r>
                <a:r>
                  <a:rPr lang="en-US" baseline="30000"/>
                  <a:t>2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271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0687826913457578"/>
          <c:y val="0.10277467512827726"/>
          <c:w val="0.18955166684310351"/>
          <c:h val="0.213223433213590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811004360238493"/>
          <c:y val="7.6070841447995821E-2"/>
          <c:w val="0.75233475932141958"/>
          <c:h val="0.7773611111111110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DOPC!$E$23:$H$23</c:f>
              <c:numCache>
                <c:formatCode>General</c:formatCode>
                <c:ptCount val="4"/>
                <c:pt idx="0">
                  <c:v>3.6904265551980818E-11</c:v>
                </c:pt>
                <c:pt idx="1">
                  <c:v>6.2846477090282741E-11</c:v>
                </c:pt>
                <c:pt idx="2">
                  <c:v>7.3697320081046244E-11</c:v>
                </c:pt>
                <c:pt idx="3">
                  <c:v>7.910703869145963E-11</c:v>
                </c:pt>
              </c:numCache>
            </c:numRef>
          </c:xVal>
          <c:yVal>
            <c:numRef>
              <c:f>DOPC!$E$24:$H$24</c:f>
              <c:numCache>
                <c:formatCode>General</c:formatCode>
                <c:ptCount val="4"/>
                <c:pt idx="0">
                  <c:v>6.2365323137283491E-16</c:v>
                </c:pt>
                <c:pt idx="1">
                  <c:v>1.8938498145384242E-14</c:v>
                </c:pt>
                <c:pt idx="2">
                  <c:v>2.8198001815817689E-14</c:v>
                </c:pt>
                <c:pt idx="3">
                  <c:v>4.6248861198039619E-14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03-4CE3-9ED8-E630468E76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1992184"/>
        <c:axId val="631992824"/>
      </c:scatterChart>
      <c:valAx>
        <c:axId val="631992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H+</a:t>
                </a:r>
                <a:r>
                  <a:rPr lang="en-US" baseline="0"/>
                  <a:t> concentration gradient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992824"/>
        <c:crossesAt val="-2.0000000000000017E-15"/>
        <c:crossBetween val="midCat"/>
      </c:valAx>
      <c:valAx>
        <c:axId val="6319928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H+ flux (mole s-1 cm-2)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992184"/>
        <c:crosses val="autoZero"/>
        <c:crossBetween val="midCat"/>
      </c:valAx>
      <c:spPr>
        <a:noFill/>
        <a:ln w="635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469598021452969"/>
          <c:y val="0.16245370370370371"/>
          <c:w val="0.75233475932141958"/>
          <c:h val="0.7773611111111110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'channel D'!$E$23:$H$23</c:f>
              <c:numCache>
                <c:formatCode>General</c:formatCode>
                <c:ptCount val="4"/>
                <c:pt idx="0">
                  <c:v>3.6904265551980818E-11</c:v>
                </c:pt>
                <c:pt idx="1">
                  <c:v>6.2846477090282741E-11</c:v>
                </c:pt>
                <c:pt idx="2">
                  <c:v>7.3697320081046244E-11</c:v>
                </c:pt>
                <c:pt idx="3">
                  <c:v>7.910703869145963E-11</c:v>
                </c:pt>
              </c:numCache>
            </c:numRef>
          </c:xVal>
          <c:yVal>
            <c:numRef>
              <c:f>'channel D'!$E$24:$H$24</c:f>
              <c:numCache>
                <c:formatCode>General</c:formatCode>
                <c:ptCount val="4"/>
                <c:pt idx="0">
                  <c:v>1.9161176762615295E-15</c:v>
                </c:pt>
                <c:pt idx="1">
                  <c:v>2.2170634998283866E-14</c:v>
                </c:pt>
                <c:pt idx="2">
                  <c:v>3.0941626133080149E-14</c:v>
                </c:pt>
                <c:pt idx="3">
                  <c:v>5.1268387459042849E-14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3E-4E29-A2C6-D5900244A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1992184"/>
        <c:axId val="631992824"/>
      </c:scatterChart>
      <c:valAx>
        <c:axId val="631992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992824"/>
        <c:crosses val="autoZero"/>
        <c:crossBetween val="midCat"/>
      </c:valAx>
      <c:valAx>
        <c:axId val="631992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992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1255059</xdr:colOff>
      <xdr:row>22</xdr:row>
      <xdr:rowOff>118182</xdr:rowOff>
    </xdr:from>
    <xdr:to>
      <xdr:col>12</xdr:col>
      <xdr:colOff>152400</xdr:colOff>
      <xdr:row>37</xdr:row>
      <xdr:rowOff>3882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B00C225-2B89-4B5D-8161-4749F38789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448235</xdr:colOff>
      <xdr:row>22</xdr:row>
      <xdr:rowOff>36820</xdr:rowOff>
    </xdr:from>
    <xdr:to>
      <xdr:col>19</xdr:col>
      <xdr:colOff>728382</xdr:colOff>
      <xdr:row>37</xdr:row>
      <xdr:rowOff>11207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F17B0F3-2147-4733-936A-DE574D766D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1468532</xdr:colOff>
      <xdr:row>40</xdr:row>
      <xdr:rowOff>172008</xdr:rowOff>
    </xdr:from>
    <xdr:to>
      <xdr:col>13</xdr:col>
      <xdr:colOff>235324</xdr:colOff>
      <xdr:row>58</xdr:row>
      <xdr:rowOff>156881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CB07034-D8C4-4589-A117-57E6A81612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457759</xdr:colOff>
      <xdr:row>37</xdr:row>
      <xdr:rowOff>136711</xdr:rowOff>
    </xdr:from>
    <xdr:to>
      <xdr:col>19</xdr:col>
      <xdr:colOff>761999</xdr:colOff>
      <xdr:row>55</xdr:row>
      <xdr:rowOff>100852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148DCD8-9C95-42F6-B22A-58690966D2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219076</xdr:colOff>
      <xdr:row>41</xdr:row>
      <xdr:rowOff>14568</xdr:rowOff>
    </xdr:from>
    <xdr:to>
      <xdr:col>9</xdr:col>
      <xdr:colOff>661147</xdr:colOff>
      <xdr:row>58</xdr:row>
      <xdr:rowOff>179294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619DB88-648D-4627-A769-DCB0F1A5B6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163286</xdr:colOff>
      <xdr:row>25</xdr:row>
      <xdr:rowOff>46428</xdr:rowOff>
    </xdr:from>
    <xdr:to>
      <xdr:col>9</xdr:col>
      <xdr:colOff>1719303</xdr:colOff>
      <xdr:row>43</xdr:row>
      <xdr:rowOff>46426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B7BDF83-1031-436E-9FB1-BA516FA983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432708</xdr:colOff>
      <xdr:row>21</xdr:row>
      <xdr:rowOff>2720</xdr:rowOff>
    </xdr:from>
    <xdr:to>
      <xdr:col>5</xdr:col>
      <xdr:colOff>231321</xdr:colOff>
      <xdr:row>37</xdr:row>
      <xdr:rowOff>160564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267D8CD8-FC79-4905-B3F9-B6F8B67948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29541</xdr:colOff>
      <xdr:row>8</xdr:row>
      <xdr:rowOff>13927</xdr:rowOff>
    </xdr:from>
    <xdr:to>
      <xdr:col>15</xdr:col>
      <xdr:colOff>397072</xdr:colOff>
      <xdr:row>28</xdr:row>
      <xdr:rowOff>12774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C78AE6-5216-43E5-B933-7883A6BB5D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246230</xdr:colOff>
      <xdr:row>10</xdr:row>
      <xdr:rowOff>66146</xdr:rowOff>
    </xdr:from>
    <xdr:to>
      <xdr:col>16</xdr:col>
      <xdr:colOff>19050</xdr:colOff>
      <xdr:row>30</xdr:row>
      <xdr:rowOff>64993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1DD965-0EF5-4CEA-8EE5-694EE6A088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436730</xdr:colOff>
      <xdr:row>13</xdr:row>
      <xdr:rowOff>77352</xdr:rowOff>
    </xdr:from>
    <xdr:to>
      <xdr:col>14</xdr:col>
      <xdr:colOff>209550</xdr:colOff>
      <xdr:row>33</xdr:row>
      <xdr:rowOff>76199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F4A275-046E-4A00-AB84-8315B91DA2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0B474-F82A-4325-BB27-223B548F8617}">
  <dimension ref="B4:W22"/>
  <sheetViews>
    <sheetView tabSelected="1" topLeftCell="A13" zoomScale="70" zoomScaleNormal="70" workbookViewId="0">
      <selection activeCell="H23" sqref="H23"/>
    </sheetView>
  </sheetViews>
  <sheetFormatPr defaultRowHeight="15" x14ac:dyDescent="0.25"/>
  <cols>
    <col min="3" max="3" width="24.140625" customWidth="1"/>
    <col min="5" max="8" width="12.28515625" bestFit="1" customWidth="1"/>
    <col min="10" max="10" width="47.42578125" customWidth="1"/>
    <col min="12" max="12" width="12" bestFit="1" customWidth="1"/>
    <col min="15" max="15" width="11.28515625" bestFit="1" customWidth="1"/>
    <col min="18" max="18" width="18.85546875" customWidth="1"/>
    <col min="20" max="20" width="12.28515625" bestFit="1" customWidth="1"/>
    <col min="22" max="22" width="12" bestFit="1" customWidth="1"/>
    <col min="25" max="25" width="12" bestFit="1" customWidth="1"/>
  </cols>
  <sheetData>
    <row r="4" spans="2:23" x14ac:dyDescent="0.25">
      <c r="F4" t="s">
        <v>17</v>
      </c>
      <c r="G4">
        <v>206789516825685.63</v>
      </c>
      <c r="R4" t="s">
        <v>6</v>
      </c>
      <c r="S4">
        <f>91.46*10^-9</f>
        <v>9.146E-8</v>
      </c>
    </row>
    <row r="5" spans="2:23" x14ac:dyDescent="0.25">
      <c r="R5" t="s">
        <v>7</v>
      </c>
      <c r="S5">
        <f>4*3.14*((S4/2)^2)</f>
        <v>2.6265885224000002E-14</v>
      </c>
      <c r="U5" s="3" t="s">
        <v>22</v>
      </c>
      <c r="V5" s="2">
        <f>60*(10^-20)</f>
        <v>5.9999999999999999E-19</v>
      </c>
    </row>
    <row r="6" spans="2:23" x14ac:dyDescent="0.25">
      <c r="U6" t="s">
        <v>23</v>
      </c>
      <c r="V6">
        <f>(S5*2)/V5</f>
        <v>87552.950746666669</v>
      </c>
    </row>
    <row r="7" spans="2:23" x14ac:dyDescent="0.25">
      <c r="U7" s="3" t="s">
        <v>27</v>
      </c>
      <c r="V7" s="2">
        <f>V6/6000</f>
        <v>14.592158457777778</v>
      </c>
    </row>
    <row r="8" spans="2:23" x14ac:dyDescent="0.25">
      <c r="U8" t="s">
        <v>24</v>
      </c>
      <c r="V8">
        <v>555555555555555.5</v>
      </c>
    </row>
    <row r="10" spans="2:23" x14ac:dyDescent="0.25">
      <c r="K10" s="6" t="s">
        <v>20</v>
      </c>
      <c r="L10" s="6"/>
      <c r="M10" s="6"/>
      <c r="N10" s="6"/>
      <c r="O10" s="6"/>
      <c r="S10" s="6" t="s">
        <v>21</v>
      </c>
      <c r="T10" s="6"/>
      <c r="U10" s="6"/>
      <c r="V10" s="6"/>
      <c r="W10" s="6"/>
    </row>
    <row r="11" spans="2:23" x14ac:dyDescent="0.25">
      <c r="C11" t="s">
        <v>39</v>
      </c>
      <c r="D11">
        <v>0</v>
      </c>
      <c r="E11">
        <f>DOPC!E18</f>
        <v>3.6904265551980818E-8</v>
      </c>
      <c r="F11">
        <f>DOPC!F18</f>
        <v>6.2846477090282743E-8</v>
      </c>
      <c r="G11">
        <f>DOPC!G18</f>
        <v>7.3697320081046241E-8</v>
      </c>
      <c r="H11">
        <f>DOPC!H18</f>
        <v>7.9107038691459624E-8</v>
      </c>
      <c r="J11" t="s">
        <v>39</v>
      </c>
      <c r="K11">
        <v>0</v>
      </c>
      <c r="L11" s="4">
        <f>E11</f>
        <v>3.6904265551980818E-8</v>
      </c>
      <c r="M11" s="4">
        <f t="shared" ref="M11:O11" si="0">F11</f>
        <v>6.2846477090282743E-8</v>
      </c>
      <c r="N11" s="4">
        <f t="shared" si="0"/>
        <v>7.3697320081046241E-8</v>
      </c>
      <c r="O11" s="4">
        <f t="shared" si="0"/>
        <v>7.9107038691459624E-8</v>
      </c>
      <c r="R11" t="s">
        <v>39</v>
      </c>
      <c r="S11">
        <v>0</v>
      </c>
      <c r="T11" s="4">
        <f>L11</f>
        <v>3.6904265551980818E-8</v>
      </c>
      <c r="U11" s="4">
        <f t="shared" ref="U11:W11" si="1">M11</f>
        <v>6.2846477090282743E-8</v>
      </c>
      <c r="V11" s="4">
        <f t="shared" si="1"/>
        <v>7.3697320081046241E-8</v>
      </c>
      <c r="W11" s="4">
        <f t="shared" si="1"/>
        <v>7.9107038691459624E-8</v>
      </c>
    </row>
    <row r="12" spans="2:23" x14ac:dyDescent="0.25">
      <c r="B12" t="s">
        <v>14</v>
      </c>
      <c r="C12" t="s">
        <v>18</v>
      </c>
      <c r="D12">
        <v>0</v>
      </c>
      <c r="E12">
        <f>DOPC!E19</f>
        <v>6.2365323137283491E-12</v>
      </c>
      <c r="F12">
        <f>DOPC!F19</f>
        <v>1.8938498145384244E-10</v>
      </c>
      <c r="G12">
        <f>DOPC!G19</f>
        <v>2.8198001815817688E-10</v>
      </c>
      <c r="H12">
        <f>DOPC!H19</f>
        <v>4.624886119803962E-10</v>
      </c>
      <c r="J12" t="s">
        <v>19</v>
      </c>
      <c r="K12">
        <f>D13-D12</f>
        <v>0</v>
      </c>
      <c r="L12">
        <f>E13-E12</f>
        <v>1.2924644448886944E-11</v>
      </c>
      <c r="M12">
        <f>F13-F12</f>
        <v>3.2321368528996205E-11</v>
      </c>
      <c r="N12">
        <f>G13-G12</f>
        <v>2.7436243172624626E-11</v>
      </c>
      <c r="O12">
        <f>H13-H12</f>
        <v>5.019526261003227E-11</v>
      </c>
      <c r="R12" t="s">
        <v>19</v>
      </c>
      <c r="S12">
        <f>D14-D12</f>
        <v>0</v>
      </c>
      <c r="T12">
        <f>E14-E12</f>
        <v>7.5756613382664181E-9</v>
      </c>
      <c r="U12">
        <f>F14-F12</f>
        <v>1.185205156466532E-8</v>
      </c>
      <c r="V12">
        <f>G14-G12</f>
        <v>1.4979843279125499E-8</v>
      </c>
      <c r="W12">
        <f>H14-H12</f>
        <v>1.5734172108850304E-8</v>
      </c>
    </row>
    <row r="13" spans="2:23" x14ac:dyDescent="0.25">
      <c r="B13" t="s">
        <v>16</v>
      </c>
      <c r="C13" t="s">
        <v>18</v>
      </c>
      <c r="D13">
        <v>0</v>
      </c>
      <c r="E13">
        <f>'channel D'!E19</f>
        <v>1.9161176762615293E-11</v>
      </c>
      <c r="F13">
        <f>'channel D'!F19</f>
        <v>2.2170634998283864E-10</v>
      </c>
      <c r="G13">
        <f>'channel D'!G19</f>
        <v>3.094162613308015E-10</v>
      </c>
      <c r="H13">
        <f>'channel D'!H19</f>
        <v>5.1268387459042847E-10</v>
      </c>
      <c r="J13" t="s">
        <v>25</v>
      </c>
      <c r="K13">
        <f>K12/$G$4</f>
        <v>0</v>
      </c>
      <c r="L13">
        <f>L12/$G$4</f>
        <v>6.2501449044836471E-26</v>
      </c>
      <c r="M13">
        <f t="shared" ref="M13:O13" si="2">M12/$G$4</f>
        <v>1.5630080782209904E-25</v>
      </c>
      <c r="N13">
        <f t="shared" si="2"/>
        <v>1.3267714724510024E-25</v>
      </c>
      <c r="O13">
        <f t="shared" si="2"/>
        <v>2.4273601186632996E-25</v>
      </c>
      <c r="R13" t="s">
        <v>25</v>
      </c>
      <c r="S13">
        <f>S12/$V$8</f>
        <v>0</v>
      </c>
      <c r="T13">
        <f>T12/$V$8</f>
        <v>1.3636190408879553E-23</v>
      </c>
      <c r="U13">
        <f>U12/$V$8</f>
        <v>2.1333692816397579E-23</v>
      </c>
      <c r="V13">
        <f>V12/$V$8</f>
        <v>2.6963717902425902E-23</v>
      </c>
      <c r="W13">
        <f>W12/$V$8</f>
        <v>2.8321509795930549E-23</v>
      </c>
    </row>
    <row r="14" spans="2:23" ht="13.5" customHeight="1" x14ac:dyDescent="0.25">
      <c r="B14" t="s">
        <v>15</v>
      </c>
      <c r="C14" t="s">
        <v>18</v>
      </c>
      <c r="D14">
        <v>0</v>
      </c>
      <c r="E14">
        <f>gA!E19</f>
        <v>7.5818978705801471E-9</v>
      </c>
      <c r="F14">
        <f>gA!F19</f>
        <v>1.2041436546119162E-8</v>
      </c>
      <c r="G14">
        <f>gA!G19</f>
        <v>1.5261823297283677E-8</v>
      </c>
      <c r="H14">
        <f>gA!H19</f>
        <v>1.61966607208307E-8</v>
      </c>
      <c r="J14" s="5" t="s">
        <v>26</v>
      </c>
      <c r="K14">
        <f>K13*6.022*(10^23)</f>
        <v>0</v>
      </c>
      <c r="L14">
        <f t="shared" ref="L14:O14" si="3">L13*6.022*(10^23)</f>
        <v>3.7638372614800526E-2</v>
      </c>
      <c r="M14">
        <f t="shared" si="3"/>
        <v>9.4124346470468023E-2</v>
      </c>
      <c r="N14">
        <f t="shared" si="3"/>
        <v>7.9898178070999359E-2</v>
      </c>
      <c r="O14" s="5">
        <f t="shared" si="3"/>
        <v>0.14617562634590389</v>
      </c>
      <c r="R14" s="5" t="s">
        <v>26</v>
      </c>
      <c r="S14">
        <f>S13*(6.022*10^23)</f>
        <v>0</v>
      </c>
      <c r="T14">
        <f t="shared" ref="T14:W14" si="4">T13*(6.022*10^23)</f>
        <v>8.2117138642272671</v>
      </c>
      <c r="U14">
        <f t="shared" si="4"/>
        <v>12.847149814034621</v>
      </c>
      <c r="V14">
        <f t="shared" si="4"/>
        <v>16.237550920840878</v>
      </c>
      <c r="W14" s="5">
        <f t="shared" si="4"/>
        <v>17.055213199109375</v>
      </c>
    </row>
    <row r="17" spans="2:23" x14ac:dyDescent="0.25">
      <c r="J17" t="s">
        <v>28</v>
      </c>
      <c r="L17">
        <f>L11/1000</f>
        <v>3.6904265551980818E-11</v>
      </c>
      <c r="M17">
        <f t="shared" ref="M17:O17" si="5">M11/1000</f>
        <v>6.2846477090282741E-11</v>
      </c>
      <c r="N17">
        <f t="shared" si="5"/>
        <v>7.3697320081046244E-11</v>
      </c>
      <c r="O17">
        <f t="shared" si="5"/>
        <v>7.910703869145963E-11</v>
      </c>
      <c r="R17" t="s">
        <v>28</v>
      </c>
      <c r="T17">
        <f>T11/1000</f>
        <v>3.6904265551980818E-11</v>
      </c>
      <c r="U17">
        <f t="shared" ref="U17:W17" si="6">U11/1000</f>
        <v>6.2846477090282741E-11</v>
      </c>
      <c r="V17">
        <f t="shared" si="6"/>
        <v>7.3697320081046244E-11</v>
      </c>
      <c r="W17">
        <f t="shared" si="6"/>
        <v>7.910703869145963E-11</v>
      </c>
    </row>
    <row r="18" spans="2:23" x14ac:dyDescent="0.25">
      <c r="B18" t="s">
        <v>31</v>
      </c>
      <c r="C18" t="s">
        <v>32</v>
      </c>
      <c r="E18">
        <f>E11/1000</f>
        <v>3.6904265551980818E-11</v>
      </c>
      <c r="F18">
        <f t="shared" ref="F18:H18" si="7">F11/1000</f>
        <v>6.2846477090282741E-11</v>
      </c>
      <c r="G18">
        <f t="shared" si="7"/>
        <v>7.3697320081046244E-11</v>
      </c>
      <c r="H18">
        <f t="shared" si="7"/>
        <v>7.910703869145963E-11</v>
      </c>
      <c r="J18" t="s">
        <v>25</v>
      </c>
      <c r="L18">
        <f>L13</f>
        <v>6.2501449044836471E-26</v>
      </c>
      <c r="M18">
        <f t="shared" ref="M18:O18" si="8">M13</f>
        <v>1.5630080782209904E-25</v>
      </c>
      <c r="N18">
        <f t="shared" si="8"/>
        <v>1.3267714724510024E-25</v>
      </c>
      <c r="O18">
        <f t="shared" si="8"/>
        <v>2.4273601186632996E-25</v>
      </c>
      <c r="R18" t="s">
        <v>25</v>
      </c>
      <c r="T18">
        <f t="shared" ref="T18:W18" si="9">T13</f>
        <v>1.3636190408879553E-23</v>
      </c>
      <c r="U18">
        <f t="shared" si="9"/>
        <v>2.1333692816397579E-23</v>
      </c>
      <c r="V18">
        <f t="shared" si="9"/>
        <v>2.6963717902425902E-23</v>
      </c>
      <c r="W18">
        <f t="shared" si="9"/>
        <v>2.8321509795930549E-23</v>
      </c>
    </row>
    <row r="19" spans="2:23" x14ac:dyDescent="0.25">
      <c r="B19" t="s">
        <v>14</v>
      </c>
      <c r="C19" t="s">
        <v>30</v>
      </c>
      <c r="E19">
        <f>E12/10000</f>
        <v>6.2365323137283491E-16</v>
      </c>
      <c r="F19">
        <f>F12/10000</f>
        <v>1.8938498145384242E-14</v>
      </c>
      <c r="G19">
        <f>G12/10000</f>
        <v>2.8198001815817689E-14</v>
      </c>
      <c r="H19">
        <f>H12/10000</f>
        <v>4.6248861198039619E-14</v>
      </c>
    </row>
    <row r="20" spans="2:23" x14ac:dyDescent="0.25">
      <c r="J20" s="1" t="s">
        <v>29</v>
      </c>
      <c r="L20">
        <f>4.44*10^-15</f>
        <v>4.4400000000000004E-15</v>
      </c>
      <c r="R20" s="1" t="s">
        <v>29</v>
      </c>
      <c r="T20">
        <f>3.92*10^-13</f>
        <v>3.92E-13</v>
      </c>
    </row>
    <row r="22" spans="2:23" x14ac:dyDescent="0.25">
      <c r="O22" s="4"/>
    </row>
  </sheetData>
  <mergeCells count="2">
    <mergeCell ref="K10:O10"/>
    <mergeCell ref="S10:W10"/>
  </mergeCell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047AA-0751-4EC1-890E-21B032428C58}">
  <dimension ref="B2:H24"/>
  <sheetViews>
    <sheetView zoomScale="85" zoomScaleNormal="85" workbookViewId="0">
      <selection activeCell="E18" sqref="E18:H18"/>
    </sheetView>
  </sheetViews>
  <sheetFormatPr defaultRowHeight="15" x14ac:dyDescent="0.25"/>
  <cols>
    <col min="2" max="2" width="18.85546875" customWidth="1"/>
    <col min="3" max="3" width="12.28515625" bestFit="1" customWidth="1"/>
    <col min="4" max="4" width="21.42578125" customWidth="1"/>
    <col min="5" max="5" width="26.5703125" customWidth="1"/>
    <col min="6" max="6" width="12.28515625" bestFit="1" customWidth="1"/>
    <col min="12" max="12" width="13.140625" bestFit="1" customWidth="1"/>
  </cols>
  <sheetData>
    <row r="2" spans="2:8" x14ac:dyDescent="0.25">
      <c r="B2" t="s">
        <v>38</v>
      </c>
      <c r="C2">
        <v>7.4981999999999998</v>
      </c>
      <c r="E2" t="s">
        <v>4</v>
      </c>
      <c r="F2">
        <f>C3/C2</f>
        <v>5.6068947617461955E-4</v>
      </c>
    </row>
    <row r="3" spans="2:8" x14ac:dyDescent="0.25">
      <c r="B3" t="s">
        <v>37</v>
      </c>
      <c r="C3">
        <f>2.303*((C4/C5)+C5+((C7*C6*C5)/((C6+C5)^2)))</f>
        <v>4.2041618302525322E-3</v>
      </c>
    </row>
    <row r="4" spans="2:8" x14ac:dyDescent="0.25">
      <c r="B4" t="s">
        <v>2</v>
      </c>
      <c r="C4">
        <f>10^-14</f>
        <v>1E-14</v>
      </c>
      <c r="E4" t="s">
        <v>6</v>
      </c>
      <c r="F4">
        <f>84.25333*10^-9</f>
        <v>8.4253330000000013E-8</v>
      </c>
    </row>
    <row r="5" spans="2:8" x14ac:dyDescent="0.25">
      <c r="B5" t="s">
        <v>36</v>
      </c>
      <c r="C5">
        <f>10^-7</f>
        <v>9.9999999999999995E-8</v>
      </c>
      <c r="E5" t="s">
        <v>7</v>
      </c>
      <c r="F5">
        <f>4*3.14*((F4/2)^2)</f>
        <v>2.2289678154519152E-14</v>
      </c>
    </row>
    <row r="6" spans="2:8" x14ac:dyDescent="0.25">
      <c r="B6" t="s">
        <v>0</v>
      </c>
      <c r="C6">
        <f>10^(-7.5)</f>
        <v>3.1622776601683699E-8</v>
      </c>
      <c r="E6" t="s">
        <v>8</v>
      </c>
      <c r="F6">
        <f>(4/3)*3.14*((F4/2)^3)</f>
        <v>3.1299660152441554E-22</v>
      </c>
    </row>
    <row r="7" spans="2:8" x14ac:dyDescent="0.25">
      <c r="B7" t="s">
        <v>1</v>
      </c>
      <c r="C7">
        <v>0.01</v>
      </c>
      <c r="E7" t="s">
        <v>9</v>
      </c>
      <c r="F7">
        <f>F6*1000</f>
        <v>3.1299660152441553E-19</v>
      </c>
    </row>
    <row r="10" spans="2:8" x14ac:dyDescent="0.25">
      <c r="E10">
        <v>7.4</v>
      </c>
      <c r="F10">
        <v>7.8</v>
      </c>
      <c r="G10">
        <v>8.1999999999999993</v>
      </c>
      <c r="H10">
        <v>8.6</v>
      </c>
    </row>
    <row r="11" spans="2:8" x14ac:dyDescent="0.25">
      <c r="D11" t="s">
        <v>5</v>
      </c>
      <c r="E11">
        <v>7.9210900000000004E-4</v>
      </c>
      <c r="F11">
        <v>2.4053999999999999E-2</v>
      </c>
      <c r="G11">
        <v>3.5814600000000002E-2</v>
      </c>
      <c r="H11">
        <v>5.87412E-2</v>
      </c>
    </row>
    <row r="12" spans="2:8" x14ac:dyDescent="0.25">
      <c r="D12" t="s">
        <v>3</v>
      </c>
      <c r="E12">
        <f>$F$2*E11</f>
        <v>4.4412718028320174E-7</v>
      </c>
      <c r="F12">
        <f t="shared" ref="F12:H12" si="0">$F$2*F11</f>
        <v>1.3486824659904297E-5</v>
      </c>
      <c r="G12">
        <f t="shared" si="0"/>
        <v>2.008086931340353E-5</v>
      </c>
      <c r="H12">
        <f t="shared" si="0"/>
        <v>3.2935572657868562E-5</v>
      </c>
    </row>
    <row r="13" spans="2:8" x14ac:dyDescent="0.25">
      <c r="D13" t="s">
        <v>13</v>
      </c>
      <c r="E13">
        <f>E12*$F$7</f>
        <v>1.3901029807326356E-25</v>
      </c>
      <c r="F13">
        <f t="shared" ref="F13:H13" si="1">F12*$F$7</f>
        <v>4.2213302839057265E-24</v>
      </c>
      <c r="G13">
        <f t="shared" si="1"/>
        <v>6.2852438507512286E-24</v>
      </c>
      <c r="H13">
        <f t="shared" si="1"/>
        <v>1.0308722311173322E-23</v>
      </c>
    </row>
    <row r="16" spans="2:8" x14ac:dyDescent="0.25">
      <c r="D16" t="s">
        <v>10</v>
      </c>
      <c r="E16">
        <v>7.2</v>
      </c>
      <c r="F16">
        <v>7.43</v>
      </c>
      <c r="G16">
        <v>7.58</v>
      </c>
      <c r="H16">
        <v>7.68</v>
      </c>
    </row>
    <row r="17" spans="4:8" x14ac:dyDescent="0.25">
      <c r="D17" t="s">
        <v>11</v>
      </c>
      <c r="E17">
        <f t="shared" ref="E17:H17" si="2">10^(-E16)</f>
        <v>6.3095734448019177E-8</v>
      </c>
      <c r="F17">
        <f t="shared" si="2"/>
        <v>3.7153522909717246E-8</v>
      </c>
      <c r="G17">
        <f t="shared" si="2"/>
        <v>2.6302679918953758E-8</v>
      </c>
      <c r="H17">
        <f t="shared" si="2"/>
        <v>2.0892961308540368E-8</v>
      </c>
    </row>
    <row r="18" spans="4:8" x14ac:dyDescent="0.25">
      <c r="D18" s="1" t="s">
        <v>39</v>
      </c>
      <c r="E18">
        <f>($C$5-E17)</f>
        <v>3.6904265551980818E-8</v>
      </c>
      <c r="F18">
        <f t="shared" ref="F18:H18" si="3">($C$5-F17)</f>
        <v>6.2846477090282743E-8</v>
      </c>
      <c r="G18">
        <f t="shared" si="3"/>
        <v>7.3697320081046241E-8</v>
      </c>
      <c r="H18">
        <f t="shared" si="3"/>
        <v>7.9107038691459624E-8</v>
      </c>
    </row>
    <row r="19" spans="4:8" x14ac:dyDescent="0.25">
      <c r="D19" s="1" t="s">
        <v>12</v>
      </c>
      <c r="E19">
        <f>E13/$F$5</f>
        <v>6.2365323137283491E-12</v>
      </c>
      <c r="F19">
        <f>F13/$F$5</f>
        <v>1.8938498145384244E-10</v>
      </c>
      <c r="G19">
        <f>G13/$F$5</f>
        <v>2.8198001815817688E-10</v>
      </c>
      <c r="H19">
        <f>H13/$F$5</f>
        <v>4.624886119803962E-10</v>
      </c>
    </row>
    <row r="22" spans="4:8" x14ac:dyDescent="0.25">
      <c r="D22" t="s">
        <v>33</v>
      </c>
      <c r="E22">
        <f>E18</f>
        <v>3.6904265551980818E-8</v>
      </c>
      <c r="F22">
        <f t="shared" ref="F22:H22" si="4">F18</f>
        <v>6.2846477090282743E-8</v>
      </c>
      <c r="G22">
        <f t="shared" si="4"/>
        <v>7.3697320081046241E-8</v>
      </c>
      <c r="H22">
        <f t="shared" si="4"/>
        <v>7.9107038691459624E-8</v>
      </c>
    </row>
    <row r="23" spans="4:8" x14ac:dyDescent="0.25">
      <c r="D23" t="s">
        <v>34</v>
      </c>
      <c r="E23">
        <f>E22/1000</f>
        <v>3.6904265551980818E-11</v>
      </c>
      <c r="F23">
        <f t="shared" ref="F23:H23" si="5">F22/1000</f>
        <v>6.2846477090282741E-11</v>
      </c>
      <c r="G23">
        <f t="shared" si="5"/>
        <v>7.3697320081046244E-11</v>
      </c>
      <c r="H23">
        <f t="shared" si="5"/>
        <v>7.910703869145963E-11</v>
      </c>
    </row>
    <row r="24" spans="4:8" x14ac:dyDescent="0.25">
      <c r="D24" s="1" t="s">
        <v>35</v>
      </c>
      <c r="E24">
        <f>E19/10000</f>
        <v>6.2365323137283491E-16</v>
      </c>
      <c r="F24">
        <f t="shared" ref="F24:H24" si="6">F19/10000</f>
        <v>1.8938498145384242E-14</v>
      </c>
      <c r="G24">
        <f t="shared" si="6"/>
        <v>2.8198001815817689E-14</v>
      </c>
      <c r="H24">
        <f t="shared" si="6"/>
        <v>4.6248861198039619E-14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F4952-8AFC-433F-835B-D080CD549E81}">
  <dimension ref="B2:H24"/>
  <sheetViews>
    <sheetView zoomScale="85" zoomScaleNormal="85" workbookViewId="0">
      <selection activeCell="E12" sqref="E12"/>
    </sheetView>
  </sheetViews>
  <sheetFormatPr defaultRowHeight="15" x14ac:dyDescent="0.25"/>
  <cols>
    <col min="2" max="2" width="18.85546875" customWidth="1"/>
    <col min="3" max="3" width="12.28515625" bestFit="1" customWidth="1"/>
    <col min="4" max="4" width="21.42578125" customWidth="1"/>
    <col min="5" max="5" width="26.5703125" customWidth="1"/>
    <col min="6" max="6" width="12.28515625" bestFit="1" customWidth="1"/>
    <col min="12" max="12" width="13.140625" bestFit="1" customWidth="1"/>
  </cols>
  <sheetData>
    <row r="2" spans="2:8" x14ac:dyDescent="0.25">
      <c r="B2" t="s">
        <v>38</v>
      </c>
      <c r="C2">
        <v>7.4981999999999998</v>
      </c>
      <c r="E2" t="s">
        <v>4</v>
      </c>
      <c r="F2">
        <f>C3/C2</f>
        <v>5.6068947617461955E-4</v>
      </c>
    </row>
    <row r="3" spans="2:8" x14ac:dyDescent="0.25">
      <c r="B3" t="s">
        <v>37</v>
      </c>
      <c r="C3">
        <f>2.303*((C4/C5)+C5+((C7*C6*C5)/((C6+C5)^2)))</f>
        <v>4.2041618302525322E-3</v>
      </c>
    </row>
    <row r="4" spans="2:8" x14ac:dyDescent="0.25">
      <c r="B4" t="s">
        <v>2</v>
      </c>
      <c r="C4">
        <f>10^-14</f>
        <v>1E-14</v>
      </c>
      <c r="E4" t="s">
        <v>6</v>
      </c>
      <c r="F4">
        <f>87.49333*10^-9</f>
        <v>8.7493330000000007E-8</v>
      </c>
    </row>
    <row r="5" spans="2:8" x14ac:dyDescent="0.25">
      <c r="B5" t="s">
        <v>36</v>
      </c>
      <c r="C5">
        <f>10^-7</f>
        <v>9.9999999999999995E-8</v>
      </c>
      <c r="E5" t="s">
        <v>7</v>
      </c>
      <c r="F5">
        <f>4*3.14*((F4/2)^2)</f>
        <v>2.4036959974695153E-14</v>
      </c>
    </row>
    <row r="6" spans="2:8" x14ac:dyDescent="0.25">
      <c r="B6" t="s">
        <v>0</v>
      </c>
      <c r="C6">
        <f>10^(-7.5)</f>
        <v>3.1622776601683699E-8</v>
      </c>
      <c r="E6" t="s">
        <v>8</v>
      </c>
      <c r="F6">
        <f>(4/3)*3.14*((F4/2)^3)</f>
        <v>3.505122785437991E-22</v>
      </c>
    </row>
    <row r="7" spans="2:8" x14ac:dyDescent="0.25">
      <c r="B7" t="s">
        <v>1</v>
      </c>
      <c r="C7">
        <v>0.01</v>
      </c>
      <c r="E7" t="s">
        <v>9</v>
      </c>
      <c r="F7">
        <f>F6*1000</f>
        <v>3.5051227854379909E-19</v>
      </c>
    </row>
    <row r="10" spans="2:8" x14ac:dyDescent="0.25">
      <c r="E10">
        <v>7.4</v>
      </c>
      <c r="F10">
        <v>7.8</v>
      </c>
      <c r="G10">
        <v>8.1999999999999993</v>
      </c>
      <c r="H10">
        <v>8.6</v>
      </c>
    </row>
    <row r="11" spans="2:8" x14ac:dyDescent="0.25">
      <c r="D11" t="s">
        <v>5</v>
      </c>
      <c r="E11">
        <v>2.3435600000000002E-3</v>
      </c>
      <c r="F11">
        <v>2.7116399999999999E-2</v>
      </c>
      <c r="G11">
        <v>3.7844000000000003E-2</v>
      </c>
      <c r="H11">
        <v>6.2705200000000003E-2</v>
      </c>
    </row>
    <row r="12" spans="2:8" x14ac:dyDescent="0.25">
      <c r="D12" t="s">
        <v>3</v>
      </c>
      <c r="E12">
        <f>$F$2*E11</f>
        <v>1.3140094287837915E-6</v>
      </c>
      <c r="F12">
        <f t="shared" ref="F12:H12" si="0">$F$2*F11</f>
        <v>1.5203880111741453E-5</v>
      </c>
      <c r="G12">
        <f t="shared" si="0"/>
        <v>2.1218732536352302E-5</v>
      </c>
      <c r="H12">
        <f t="shared" si="0"/>
        <v>3.5158145741424759E-5</v>
      </c>
    </row>
    <row r="13" spans="2:8" x14ac:dyDescent="0.25">
      <c r="D13" t="s">
        <v>13</v>
      </c>
      <c r="E13">
        <f>E12*$F$7</f>
        <v>4.6057643891104268E-25</v>
      </c>
      <c r="F13">
        <f t="shared" ref="F13:H13" si="1">F12*$F$7</f>
        <v>5.3291466606732476E-24</v>
      </c>
      <c r="G13">
        <f t="shared" si="1"/>
        <v>7.4374262891282914E-24</v>
      </c>
      <c r="H13">
        <f t="shared" si="1"/>
        <v>1.232336177320176E-23</v>
      </c>
    </row>
    <row r="16" spans="2:8" x14ac:dyDescent="0.25">
      <c r="D16" t="s">
        <v>10</v>
      </c>
      <c r="E16">
        <v>7.2</v>
      </c>
      <c r="F16">
        <v>7.43</v>
      </c>
      <c r="G16">
        <v>7.58</v>
      </c>
      <c r="H16">
        <v>7.68</v>
      </c>
    </row>
    <row r="17" spans="4:8" x14ac:dyDescent="0.25">
      <c r="D17" t="s">
        <v>11</v>
      </c>
      <c r="E17">
        <f t="shared" ref="E17:H17" si="2">10^(-E16)</f>
        <v>6.3095734448019177E-8</v>
      </c>
      <c r="F17">
        <f t="shared" si="2"/>
        <v>3.7153522909717246E-8</v>
      </c>
      <c r="G17">
        <f t="shared" si="2"/>
        <v>2.6302679918953758E-8</v>
      </c>
      <c r="H17">
        <f t="shared" si="2"/>
        <v>2.0892961308540368E-8</v>
      </c>
    </row>
    <row r="18" spans="4:8" x14ac:dyDescent="0.25">
      <c r="D18" s="1" t="s">
        <v>39</v>
      </c>
      <c r="E18">
        <f>($C$5-E17)</f>
        <v>3.6904265551980818E-8</v>
      </c>
      <c r="F18">
        <f t="shared" ref="F18:H18" si="3">($C$5-F17)</f>
        <v>6.2846477090282743E-8</v>
      </c>
      <c r="G18">
        <f t="shared" si="3"/>
        <v>7.3697320081046241E-8</v>
      </c>
      <c r="H18">
        <f t="shared" si="3"/>
        <v>7.9107038691459624E-8</v>
      </c>
    </row>
    <row r="19" spans="4:8" x14ac:dyDescent="0.25">
      <c r="D19" s="1" t="s">
        <v>12</v>
      </c>
      <c r="E19">
        <f>E13/$F$5</f>
        <v>1.9161176762615293E-11</v>
      </c>
      <c r="F19">
        <f>F13/$F$5</f>
        <v>2.2170634998283864E-10</v>
      </c>
      <c r="G19">
        <f>G13/$F$5</f>
        <v>3.094162613308015E-10</v>
      </c>
      <c r="H19">
        <f>H13/$F$5</f>
        <v>5.1268387459042847E-10</v>
      </c>
    </row>
    <row r="22" spans="4:8" x14ac:dyDescent="0.25">
      <c r="D22" t="s">
        <v>33</v>
      </c>
      <c r="E22">
        <f>E18</f>
        <v>3.6904265551980818E-8</v>
      </c>
      <c r="F22">
        <f t="shared" ref="F22:H22" si="4">F18</f>
        <v>6.2846477090282743E-8</v>
      </c>
      <c r="G22">
        <f t="shared" si="4"/>
        <v>7.3697320081046241E-8</v>
      </c>
      <c r="H22">
        <f t="shared" si="4"/>
        <v>7.9107038691459624E-8</v>
      </c>
    </row>
    <row r="23" spans="4:8" x14ac:dyDescent="0.25">
      <c r="D23" t="s">
        <v>34</v>
      </c>
      <c r="E23">
        <f>E22/1000</f>
        <v>3.6904265551980818E-11</v>
      </c>
      <c r="F23">
        <f t="shared" ref="F23:H23" si="5">F22/1000</f>
        <v>6.2846477090282741E-11</v>
      </c>
      <c r="G23">
        <f t="shared" si="5"/>
        <v>7.3697320081046244E-11</v>
      </c>
      <c r="H23">
        <f t="shared" si="5"/>
        <v>7.910703869145963E-11</v>
      </c>
    </row>
    <row r="24" spans="4:8" x14ac:dyDescent="0.25">
      <c r="D24" s="1" t="s">
        <v>35</v>
      </c>
      <c r="E24">
        <f>E19/10000</f>
        <v>1.9161176762615295E-15</v>
      </c>
      <c r="F24">
        <f t="shared" ref="F24:H24" si="6">F19/10000</f>
        <v>2.2170634998283866E-14</v>
      </c>
      <c r="G24">
        <f t="shared" si="6"/>
        <v>3.0941626133080149E-14</v>
      </c>
      <c r="H24">
        <f t="shared" si="6"/>
        <v>5.1268387459042849E-14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624FD-5337-49C1-A3E2-BD87A912EF37}">
  <dimension ref="B2:H24"/>
  <sheetViews>
    <sheetView zoomScaleNormal="100" workbookViewId="0">
      <selection activeCell="L7" sqref="L7"/>
    </sheetView>
  </sheetViews>
  <sheetFormatPr defaultRowHeight="15" x14ac:dyDescent="0.25"/>
  <cols>
    <col min="2" max="2" width="18.85546875" customWidth="1"/>
    <col min="3" max="3" width="12.28515625" bestFit="1" customWidth="1"/>
    <col min="4" max="4" width="21.42578125" customWidth="1"/>
    <col min="5" max="5" width="26.5703125" customWidth="1"/>
    <col min="6" max="6" width="12.28515625" bestFit="1" customWidth="1"/>
    <col min="12" max="12" width="13.140625" bestFit="1" customWidth="1"/>
  </cols>
  <sheetData>
    <row r="2" spans="2:8" x14ac:dyDescent="0.25">
      <c r="B2" t="s">
        <v>38</v>
      </c>
      <c r="C2">
        <v>7.4981999999999998</v>
      </c>
      <c r="E2" t="s">
        <v>4</v>
      </c>
      <c r="F2">
        <f>C3/C2</f>
        <v>5.6068947617461955E-4</v>
      </c>
    </row>
    <row r="3" spans="2:8" x14ac:dyDescent="0.25">
      <c r="B3" t="s">
        <v>37</v>
      </c>
      <c r="C3">
        <f>2.303*((C4/C5)+C5+((C7*C6*C5)/((C6+C5)^2)))</f>
        <v>4.2041618302525322E-3</v>
      </c>
    </row>
    <row r="4" spans="2:8" x14ac:dyDescent="0.25">
      <c r="B4" t="s">
        <v>2</v>
      </c>
      <c r="C4">
        <f>10^-14</f>
        <v>1E-14</v>
      </c>
      <c r="E4" t="s">
        <v>6</v>
      </c>
      <c r="F4">
        <f>117.7333*10^-9</f>
        <v>1.177333E-7</v>
      </c>
    </row>
    <row r="5" spans="2:8" x14ac:dyDescent="0.25">
      <c r="B5" t="s">
        <v>36</v>
      </c>
      <c r="C5">
        <f>10^-7</f>
        <v>9.9999999999999995E-8</v>
      </c>
      <c r="E5" t="s">
        <v>7</v>
      </c>
      <c r="F5">
        <f>4*3.14*((F4/2)^2)</f>
        <v>4.3523947976714602E-14</v>
      </c>
    </row>
    <row r="6" spans="2:8" x14ac:dyDescent="0.25">
      <c r="B6" t="s">
        <v>0</v>
      </c>
      <c r="C6">
        <f>10^(-7.5)</f>
        <v>3.1622776601683699E-8</v>
      </c>
      <c r="E6" t="s">
        <v>8</v>
      </c>
      <c r="F6">
        <f>(4/3)*3.14*((F4/2)^3)</f>
        <v>8.540363373878223E-22</v>
      </c>
    </row>
    <row r="7" spans="2:8" x14ac:dyDescent="0.25">
      <c r="B7" t="s">
        <v>1</v>
      </c>
      <c r="C7">
        <v>0.01</v>
      </c>
      <c r="E7" t="s">
        <v>9</v>
      </c>
      <c r="F7">
        <f>F6*1000</f>
        <v>8.5403633738782232E-19</v>
      </c>
    </row>
    <row r="10" spans="2:8" x14ac:dyDescent="0.25">
      <c r="E10">
        <v>7.4</v>
      </c>
      <c r="F10">
        <v>7.8</v>
      </c>
      <c r="G10">
        <v>8.1999999999999993</v>
      </c>
      <c r="H10">
        <v>8.6</v>
      </c>
    </row>
    <row r="11" spans="2:8" x14ac:dyDescent="0.25">
      <c r="D11" t="s">
        <v>5</v>
      </c>
      <c r="E11">
        <v>0.68913999999999997</v>
      </c>
      <c r="F11">
        <v>1.0944799999999999</v>
      </c>
      <c r="G11">
        <v>1.3871899999999999</v>
      </c>
      <c r="H11">
        <v>1.4721599999999999</v>
      </c>
    </row>
    <row r="12" spans="2:8" x14ac:dyDescent="0.25">
      <c r="D12" t="s">
        <v>3</v>
      </c>
      <c r="E12">
        <f>$F$2*E11</f>
        <v>3.8639354561097731E-4</v>
      </c>
      <c r="F12">
        <f t="shared" ref="F12:H12" si="0">$F$2*F11</f>
        <v>6.1366341788359759E-4</v>
      </c>
      <c r="G12">
        <f t="shared" si="0"/>
        <v>7.7778283445467048E-4</v>
      </c>
      <c r="H12">
        <f t="shared" si="0"/>
        <v>8.2542461924522785E-4</v>
      </c>
    </row>
    <row r="13" spans="2:8" x14ac:dyDescent="0.25">
      <c r="D13" t="s">
        <v>13</v>
      </c>
      <c r="E13">
        <f>E12*$F$7</f>
        <v>3.2999412848389353E-22</v>
      </c>
      <c r="F13">
        <f t="shared" ref="F13:H13" si="1">F12*$F$7</f>
        <v>5.2409085779820039E-22</v>
      </c>
      <c r="G13">
        <f t="shared" si="1"/>
        <v>6.6425480322078568E-22</v>
      </c>
      <c r="H13">
        <f t="shared" si="1"/>
        <v>7.0494261860993219E-22</v>
      </c>
    </row>
    <row r="16" spans="2:8" x14ac:dyDescent="0.25">
      <c r="D16" t="s">
        <v>10</v>
      </c>
      <c r="E16">
        <v>7.2</v>
      </c>
      <c r="F16">
        <v>7.43</v>
      </c>
      <c r="G16">
        <v>7.58</v>
      </c>
      <c r="H16">
        <v>7.68</v>
      </c>
    </row>
    <row r="17" spans="4:8" x14ac:dyDescent="0.25">
      <c r="D17" t="s">
        <v>11</v>
      </c>
      <c r="E17">
        <f t="shared" ref="E17:H17" si="2">10^(-E16)</f>
        <v>6.3095734448019177E-8</v>
      </c>
      <c r="F17">
        <f t="shared" si="2"/>
        <v>3.7153522909717246E-8</v>
      </c>
      <c r="G17">
        <f t="shared" si="2"/>
        <v>2.6302679918953758E-8</v>
      </c>
      <c r="H17">
        <f t="shared" si="2"/>
        <v>2.0892961308540368E-8</v>
      </c>
    </row>
    <row r="18" spans="4:8" x14ac:dyDescent="0.25">
      <c r="D18" s="1" t="s">
        <v>39</v>
      </c>
      <c r="E18">
        <f>($C$5-E17)</f>
        <v>3.6904265551980818E-8</v>
      </c>
      <c r="F18">
        <f t="shared" ref="F18:H18" si="3">($C$5-F17)</f>
        <v>6.2846477090282743E-8</v>
      </c>
      <c r="G18">
        <f t="shared" si="3"/>
        <v>7.3697320081046241E-8</v>
      </c>
      <c r="H18">
        <f t="shared" si="3"/>
        <v>7.9107038691459624E-8</v>
      </c>
    </row>
    <row r="19" spans="4:8" x14ac:dyDescent="0.25">
      <c r="D19" s="1" t="s">
        <v>12</v>
      </c>
      <c r="E19">
        <f>E13/$F$5</f>
        <v>7.5818978705801471E-9</v>
      </c>
      <c r="F19">
        <f>F13/$F$5</f>
        <v>1.2041436546119162E-8</v>
      </c>
      <c r="G19">
        <f>G13/$F$5</f>
        <v>1.5261823297283677E-8</v>
      </c>
      <c r="H19">
        <f>H13/$F$5</f>
        <v>1.61966607208307E-8</v>
      </c>
    </row>
    <row r="22" spans="4:8" x14ac:dyDescent="0.25">
      <c r="D22" t="s">
        <v>33</v>
      </c>
      <c r="E22">
        <f>E18</f>
        <v>3.6904265551980818E-8</v>
      </c>
      <c r="F22">
        <f t="shared" ref="F22:H22" si="4">F18</f>
        <v>6.2846477090282743E-8</v>
      </c>
      <c r="G22">
        <f t="shared" si="4"/>
        <v>7.3697320081046241E-8</v>
      </c>
      <c r="H22">
        <f t="shared" si="4"/>
        <v>7.9107038691459624E-8</v>
      </c>
    </row>
    <row r="23" spans="4:8" x14ac:dyDescent="0.25">
      <c r="D23" t="s">
        <v>34</v>
      </c>
      <c r="E23">
        <f>E22/1000</f>
        <v>3.6904265551980818E-11</v>
      </c>
      <c r="F23">
        <f t="shared" ref="F23:H23" si="5">F22/1000</f>
        <v>6.2846477090282741E-11</v>
      </c>
      <c r="G23">
        <f t="shared" si="5"/>
        <v>7.3697320081046244E-11</v>
      </c>
      <c r="H23">
        <f t="shared" si="5"/>
        <v>7.910703869145963E-11</v>
      </c>
    </row>
    <row r="24" spans="4:8" x14ac:dyDescent="0.25">
      <c r="D24" s="1" t="s">
        <v>35</v>
      </c>
      <c r="E24">
        <f>E19/10000</f>
        <v>7.5818978705801474E-13</v>
      </c>
      <c r="F24">
        <f t="shared" ref="F24:H24" si="6">F19/10000</f>
        <v>1.2041436546119163E-12</v>
      </c>
      <c r="G24">
        <f t="shared" si="6"/>
        <v>1.5261823297283677E-12</v>
      </c>
      <c r="H24">
        <f t="shared" si="6"/>
        <v>1.61966607208307E-12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Comparison</vt:lpstr>
      <vt:lpstr>DOPC</vt:lpstr>
      <vt:lpstr>channel D</vt:lpstr>
      <vt:lpstr>gA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wsong</dc:creator>
  <cp:lastModifiedBy>wsong</cp:lastModifiedBy>
  <dcterms:created xsi:type="dcterms:W3CDTF">2020-09-15T17:42:44Z</dcterms:created>
  <dcterms:modified xsi:type="dcterms:W3CDTF">2020-10-19T11:39:45Z</dcterms:modified>
</cp:coreProperties>
</file>