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240" windowWidth="20490" windowHeight="7515" firstSheet="4" activeTab="4"/>
  </bookViews>
  <sheets>
    <sheet name="3+LA water perm" sheetId="1" r:id="rId1"/>
    <sheet name="4+LA water permeability" sheetId="2" r:id="rId2"/>
    <sheet name="4+LA water perm insertion eff" sheetId="3" r:id="rId3"/>
    <sheet name="5+LA water perm" sheetId="4" r:id="rId4"/>
    <sheet name="3,4 and 5 water permeability" sheetId="5" r:id="rId5"/>
    <sheet name="Ea for 3,4,5 and Blank" sheetId="6" r:id="rId6"/>
    <sheet name="Salt rejection_stopped flow" sheetId="7" r:id="rId7"/>
  </sheets>
  <externalReferences>
    <externalReference r:id="rId8"/>
  </externalReferences>
  <definedNames>
    <definedName name="_xlnm.Print_Area" localSheetId="0">'3+LA water perm'!$A$1:$K$19</definedName>
  </definedNames>
  <calcPr calcId="162913"/>
</workbook>
</file>

<file path=xl/calcChain.xml><?xml version="1.0" encoding="utf-8"?>
<calcChain xmlns="http://schemas.openxmlformats.org/spreadsheetml/2006/main">
  <c r="D14" i="7" l="1"/>
  <c r="D15" i="7"/>
  <c r="D13" i="7"/>
  <c r="D5" i="7" l="1"/>
  <c r="D4" i="7"/>
  <c r="D3" i="7"/>
  <c r="E10" i="6" l="1"/>
  <c r="AC10" i="6" l="1"/>
  <c r="U10" i="6"/>
  <c r="M10" i="6"/>
  <c r="AE9" i="6"/>
  <c r="AC9" i="6"/>
  <c r="Z9" i="6"/>
  <c r="AA9" i="6" s="1"/>
  <c r="W9" i="6"/>
  <c r="U9" i="6"/>
  <c r="R9" i="6"/>
  <c r="S9" i="6" s="1"/>
  <c r="O9" i="6"/>
  <c r="M9" i="6"/>
  <c r="J9" i="6"/>
  <c r="K9" i="6" s="1"/>
  <c r="G9" i="6"/>
  <c r="E9" i="6"/>
  <c r="B9" i="6"/>
  <c r="C9" i="6" s="1"/>
  <c r="AE8" i="6"/>
  <c r="AC8" i="6"/>
  <c r="Z8" i="6"/>
  <c r="AA8" i="6" s="1"/>
  <c r="W8" i="6"/>
  <c r="U8" i="6"/>
  <c r="R8" i="6"/>
  <c r="S8" i="6" s="1"/>
  <c r="O8" i="6"/>
  <c r="M8" i="6"/>
  <c r="J8" i="6"/>
  <c r="K8" i="6" s="1"/>
  <c r="G8" i="6"/>
  <c r="E8" i="6"/>
  <c r="B8" i="6"/>
  <c r="C8" i="6" s="1"/>
  <c r="AE7" i="6"/>
  <c r="AC7" i="6"/>
  <c r="Z7" i="6"/>
  <c r="AA7" i="6" s="1"/>
  <c r="W7" i="6"/>
  <c r="U7" i="6"/>
  <c r="R7" i="6"/>
  <c r="S7" i="6" s="1"/>
  <c r="O7" i="6"/>
  <c r="M7" i="6"/>
  <c r="J7" i="6"/>
  <c r="K7" i="6" s="1"/>
  <c r="G7" i="6"/>
  <c r="E7" i="6"/>
  <c r="B7" i="6"/>
  <c r="C7" i="6" s="1"/>
  <c r="AE6" i="6"/>
  <c r="AC6" i="6"/>
  <c r="Z6" i="6"/>
  <c r="AA6" i="6" s="1"/>
  <c r="W6" i="6"/>
  <c r="U6" i="6"/>
  <c r="R6" i="6"/>
  <c r="S6" i="6" s="1"/>
  <c r="O6" i="6"/>
  <c r="M6" i="6"/>
  <c r="J6" i="6"/>
  <c r="K6" i="6" s="1"/>
  <c r="G6" i="6"/>
  <c r="E6" i="6"/>
  <c r="B6" i="6"/>
  <c r="C6" i="6" s="1"/>
  <c r="AE5" i="6"/>
  <c r="AC5" i="6"/>
  <c r="Z5" i="6"/>
  <c r="AA5" i="6" s="1"/>
  <c r="W5" i="6"/>
  <c r="U5" i="6"/>
  <c r="R5" i="6"/>
  <c r="S5" i="6" s="1"/>
  <c r="O5" i="6"/>
  <c r="M5" i="6"/>
  <c r="J5" i="6"/>
  <c r="K5" i="6" s="1"/>
  <c r="G5" i="6"/>
  <c r="E5" i="6"/>
  <c r="B5" i="6"/>
  <c r="C5" i="6" s="1"/>
  <c r="E6" i="5" l="1"/>
  <c r="E5" i="5"/>
  <c r="E4" i="5"/>
  <c r="I14" i="5"/>
  <c r="E14" i="5"/>
  <c r="I13" i="5"/>
  <c r="E13" i="5"/>
  <c r="I12" i="5"/>
  <c r="J12" i="5" s="1"/>
  <c r="E12" i="5"/>
  <c r="I6" i="5"/>
  <c r="J6" i="5" s="1"/>
  <c r="I5" i="5"/>
  <c r="J5" i="5" s="1"/>
  <c r="I4" i="5"/>
  <c r="I3" i="5"/>
  <c r="E3" i="5"/>
  <c r="J3" i="5" l="1"/>
  <c r="J13" i="5"/>
  <c r="K13" i="5" s="1"/>
  <c r="J4" i="5"/>
  <c r="J14" i="5"/>
  <c r="K14" i="5" s="1"/>
  <c r="K6" i="5"/>
  <c r="K5" i="5"/>
  <c r="K12" i="5"/>
  <c r="K4" i="5" l="1"/>
  <c r="M4" i="5"/>
  <c r="L4" i="5"/>
  <c r="M12" i="5"/>
  <c r="L12" i="5"/>
  <c r="E16" i="1"/>
  <c r="E12" i="1"/>
  <c r="E9" i="1"/>
  <c r="I8" i="1"/>
  <c r="E8" i="1"/>
  <c r="I18" i="1"/>
  <c r="E18" i="1"/>
  <c r="I17" i="1"/>
  <c r="E17" i="1"/>
  <c r="I16" i="1"/>
  <c r="I5" i="1"/>
  <c r="E5" i="1"/>
  <c r="I4" i="1"/>
  <c r="E4" i="1"/>
  <c r="J5" i="1" l="1"/>
  <c r="J16" i="1"/>
  <c r="J18" i="1"/>
  <c r="J17" i="1"/>
  <c r="J8" i="1"/>
  <c r="J4" i="1"/>
  <c r="I25" i="4" l="1"/>
  <c r="E25" i="4"/>
  <c r="I24" i="4"/>
  <c r="E24" i="4"/>
  <c r="J24" i="4" s="1"/>
  <c r="I23" i="4"/>
  <c r="E23" i="4"/>
  <c r="I22" i="4"/>
  <c r="E22" i="4"/>
  <c r="E11" i="4"/>
  <c r="I11" i="4"/>
  <c r="E12" i="4"/>
  <c r="I12" i="4"/>
  <c r="J12" i="4" s="1"/>
  <c r="E13" i="4"/>
  <c r="I13" i="4"/>
  <c r="J23" i="4" l="1"/>
  <c r="J25" i="4"/>
  <c r="J22" i="4"/>
  <c r="K23" i="4" s="1"/>
  <c r="J13" i="4"/>
  <c r="J11" i="4"/>
  <c r="K25" i="4" l="1"/>
  <c r="K24" i="4"/>
  <c r="L25" i="4" l="1"/>
  <c r="M25" i="4"/>
  <c r="I15" i="4" l="1"/>
  <c r="I17" i="4" l="1"/>
  <c r="E17" i="4"/>
  <c r="I16" i="4"/>
  <c r="E16" i="4"/>
  <c r="E15" i="4"/>
  <c r="J15" i="4" s="1"/>
  <c r="I8" i="4"/>
  <c r="E8" i="4"/>
  <c r="I7" i="4"/>
  <c r="E7" i="4"/>
  <c r="I6" i="4"/>
  <c r="E6" i="4"/>
  <c r="J6" i="4" s="1"/>
  <c r="I4" i="4"/>
  <c r="E4" i="4"/>
  <c r="J4" i="4" l="1"/>
  <c r="K15" i="4" s="1"/>
  <c r="J17" i="4"/>
  <c r="K17" i="4" s="1"/>
  <c r="K6" i="4"/>
  <c r="K12" i="4"/>
  <c r="K13" i="4"/>
  <c r="J16" i="4"/>
  <c r="K16" i="4" s="1"/>
  <c r="J7" i="4"/>
  <c r="J8" i="4"/>
  <c r="K8" i="4" s="1"/>
  <c r="M15" i="4" l="1"/>
  <c r="K7" i="4"/>
  <c r="K11" i="4"/>
  <c r="M11" i="4" s="1"/>
  <c r="L15" i="4"/>
  <c r="M6" i="4"/>
  <c r="L6" i="4"/>
  <c r="B16" i="3"/>
  <c r="B15" i="3"/>
  <c r="B14" i="3"/>
  <c r="B12" i="3"/>
  <c r="B11" i="3"/>
  <c r="B10" i="3"/>
  <c r="X28" i="3"/>
  <c r="B20" i="3"/>
  <c r="B19" i="3"/>
  <c r="B18" i="3"/>
  <c r="B8" i="3"/>
  <c r="B7" i="3"/>
  <c r="B6" i="3"/>
  <c r="I20" i="3"/>
  <c r="J20" i="3" s="1"/>
  <c r="I19" i="3"/>
  <c r="J19" i="3" s="1"/>
  <c r="I18" i="3"/>
  <c r="J18" i="3" s="1"/>
  <c r="I16" i="3"/>
  <c r="E16" i="3"/>
  <c r="I15" i="3"/>
  <c r="E15" i="3"/>
  <c r="I14" i="3"/>
  <c r="E14" i="3"/>
  <c r="I12" i="3"/>
  <c r="E12" i="3"/>
  <c r="I11" i="3"/>
  <c r="E11" i="3"/>
  <c r="I10" i="3"/>
  <c r="E10" i="3"/>
  <c r="I8" i="3"/>
  <c r="E8" i="3"/>
  <c r="I7" i="3"/>
  <c r="E7" i="3"/>
  <c r="I6" i="3"/>
  <c r="E6" i="3"/>
  <c r="I4" i="3"/>
  <c r="E4" i="3"/>
  <c r="J6" i="3" l="1"/>
  <c r="J8" i="3"/>
  <c r="J14" i="3"/>
  <c r="L11" i="4"/>
  <c r="J10" i="3"/>
  <c r="J12" i="3"/>
  <c r="J16" i="3"/>
  <c r="J4" i="3"/>
  <c r="K10" i="3" s="1"/>
  <c r="J7" i="3"/>
  <c r="J11" i="3"/>
  <c r="J15" i="3"/>
  <c r="K8" i="3" l="1"/>
  <c r="K20" i="3"/>
  <c r="K18" i="3"/>
  <c r="K15" i="3"/>
  <c r="K14" i="3"/>
  <c r="K19" i="3"/>
  <c r="K11" i="3"/>
  <c r="M10" i="3" s="1"/>
  <c r="K16" i="3"/>
  <c r="K12" i="3"/>
  <c r="K6" i="3"/>
  <c r="K7" i="3"/>
  <c r="L6" i="3" s="1"/>
  <c r="L18" i="3"/>
  <c r="M18" i="3" l="1"/>
  <c r="L14" i="3"/>
  <c r="M6" i="3"/>
  <c r="L10" i="3"/>
  <c r="M14" i="3"/>
  <c r="I24" i="2"/>
  <c r="J24" i="2" s="1"/>
  <c r="I23" i="2"/>
  <c r="I22" i="2"/>
  <c r="I18" i="2"/>
  <c r="E4" i="2"/>
  <c r="J23" i="2" l="1"/>
  <c r="J22" i="2"/>
  <c r="E18" i="2" l="1"/>
  <c r="I17" i="2"/>
  <c r="E17" i="2"/>
  <c r="I13" i="2"/>
  <c r="E13" i="2"/>
  <c r="I19" i="2"/>
  <c r="E19" i="2"/>
  <c r="I15" i="2"/>
  <c r="E15" i="2"/>
  <c r="I14" i="2"/>
  <c r="E14" i="2"/>
  <c r="I11" i="2"/>
  <c r="E11" i="2"/>
  <c r="I10" i="2"/>
  <c r="E10" i="2"/>
  <c r="I9" i="2"/>
  <c r="E9" i="2"/>
  <c r="I7" i="2"/>
  <c r="E7" i="2"/>
  <c r="I6" i="2"/>
  <c r="E6" i="2"/>
  <c r="I5" i="2"/>
  <c r="E5" i="2"/>
  <c r="I4" i="2"/>
  <c r="J13" i="2" l="1"/>
  <c r="J5" i="2"/>
  <c r="J7" i="2"/>
  <c r="J10" i="2"/>
  <c r="J14" i="2"/>
  <c r="J19" i="2"/>
  <c r="J6" i="2"/>
  <c r="J9" i="2"/>
  <c r="J11" i="2"/>
  <c r="J17" i="2"/>
  <c r="J15" i="2"/>
  <c r="J4" i="2"/>
  <c r="J18" i="2"/>
  <c r="K5" i="2" l="1"/>
  <c r="K18" i="2"/>
  <c r="K9" i="2"/>
  <c r="K6" i="2"/>
  <c r="K14" i="2"/>
  <c r="K24" i="2"/>
  <c r="K23" i="2"/>
  <c r="K22" i="2"/>
  <c r="K19" i="2"/>
  <c r="K7" i="2"/>
  <c r="K15" i="2"/>
  <c r="K13" i="2"/>
  <c r="K17" i="2"/>
  <c r="K10" i="2"/>
  <c r="K11" i="2"/>
  <c r="M9" i="2" l="1"/>
  <c r="L17" i="2"/>
  <c r="M17" i="2"/>
  <c r="L9" i="2"/>
  <c r="M13" i="2"/>
  <c r="L13" i="2"/>
  <c r="M22" i="2"/>
  <c r="L22" i="2"/>
  <c r="M5" i="2"/>
  <c r="L5" i="2"/>
  <c r="S3" i="1"/>
  <c r="T3" i="1" s="1"/>
  <c r="I13" i="1" l="1"/>
  <c r="I14" i="1"/>
  <c r="E14" i="1" l="1"/>
  <c r="E13" i="1"/>
  <c r="J13" i="1" s="1"/>
  <c r="J14" i="1" l="1"/>
  <c r="I12" i="1"/>
  <c r="J12" i="1" l="1"/>
  <c r="I3" i="1"/>
  <c r="I6" i="1"/>
  <c r="I9" i="1"/>
  <c r="J9" i="1" s="1"/>
  <c r="I10" i="1"/>
  <c r="D3" i="1"/>
  <c r="E6" i="1" l="1"/>
  <c r="J6" i="1" s="1"/>
  <c r="E10" i="1" l="1"/>
  <c r="J10" i="1" l="1"/>
  <c r="E3" i="1" l="1"/>
  <c r="J3" i="1" l="1"/>
  <c r="K17" i="1" l="1"/>
  <c r="K16" i="1"/>
  <c r="K18" i="1"/>
  <c r="K8" i="1"/>
  <c r="K4" i="1"/>
  <c r="K5" i="1"/>
  <c r="K9" i="1"/>
  <c r="K6" i="1"/>
  <c r="K13" i="1"/>
  <c r="K14" i="1"/>
  <c r="K12" i="1"/>
  <c r="K10" i="1"/>
  <c r="M16" i="1" l="1"/>
  <c r="L16" i="1"/>
  <c r="M12" i="1"/>
  <c r="L12" i="1"/>
  <c r="M4" i="1"/>
  <c r="L4" i="1"/>
  <c r="L8" i="1"/>
  <c r="M8" i="1"/>
</calcChain>
</file>

<file path=xl/sharedStrings.xml><?xml version="1.0" encoding="utf-8"?>
<sst xmlns="http://schemas.openxmlformats.org/spreadsheetml/2006/main" count="215" uniqueCount="57">
  <si>
    <t>k-1</t>
  </si>
  <si>
    <t>k-2</t>
  </si>
  <si>
    <t>k-average</t>
  </si>
  <si>
    <t>d (nm)-LUV</t>
  </si>
  <si>
    <t>r (nm)-LUV</t>
  </si>
  <si>
    <t>NA</t>
  </si>
  <si>
    <r>
      <t>Δ</t>
    </r>
    <r>
      <rPr>
        <vertAlign val="subscript"/>
        <sz val="11"/>
        <color theme="1"/>
        <rFont val="Calibri"/>
        <family val="2"/>
      </rPr>
      <t>osm</t>
    </r>
    <r>
      <rPr>
        <sz val="11"/>
        <color theme="1"/>
        <rFont val="Calibri"/>
        <family val="2"/>
      </rPr>
      <t xml:space="preserve"> (mol/L)</t>
    </r>
  </si>
  <si>
    <t>ratio-PC/channel</t>
  </si>
  <si>
    <r>
      <t>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(cm/s)</t>
    </r>
  </si>
  <si>
    <r>
      <t>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(10</t>
    </r>
    <r>
      <rPr>
        <vertAlign val="superscript"/>
        <sz val="11"/>
        <color theme="1"/>
        <rFont val="Calibri"/>
        <family val="2"/>
        <scheme val="minor"/>
      </rPr>
      <t xml:space="preserve">-14 </t>
    </r>
    <r>
      <rPr>
        <sz val="11"/>
        <color theme="1"/>
        <rFont val="Calibri"/>
        <family val="2"/>
        <scheme val="minor"/>
      </rP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</si>
  <si>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Blank</t>
  </si>
  <si>
    <t>DLS</t>
  </si>
  <si>
    <t>Run1</t>
  </si>
  <si>
    <t>Run2</t>
  </si>
  <si>
    <t>Run3</t>
  </si>
  <si>
    <t>Avg</t>
  </si>
  <si>
    <t>k-3</t>
  </si>
  <si>
    <t>Sum</t>
  </si>
  <si>
    <t>Stopped Flow</t>
  </si>
  <si>
    <t>S1</t>
  </si>
  <si>
    <t>S2</t>
  </si>
  <si>
    <t>S3</t>
  </si>
  <si>
    <r>
      <t>Avg 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(10</t>
    </r>
    <r>
      <rPr>
        <vertAlign val="superscript"/>
        <sz val="11"/>
        <color theme="1"/>
        <rFont val="Calibri"/>
        <family val="2"/>
        <scheme val="minor"/>
      </rPr>
      <t xml:space="preserve">-14 </t>
    </r>
    <r>
      <rPr>
        <sz val="11"/>
        <color theme="1"/>
        <rFont val="Calibri"/>
        <family val="2"/>
        <scheme val="minor"/>
      </rP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</si>
  <si>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Stdev</t>
  </si>
  <si>
    <t>stdev</t>
  </si>
  <si>
    <r>
      <t>Δ</t>
    </r>
    <r>
      <rPr>
        <vertAlign val="subscript"/>
        <sz val="11"/>
        <color theme="1"/>
        <rFont val="Calibri"/>
        <family val="3"/>
        <charset val="134"/>
        <scheme val="minor"/>
      </rPr>
      <t>osm</t>
    </r>
    <r>
      <rPr>
        <sz val="11"/>
        <color theme="1"/>
        <rFont val="Calibri"/>
        <family val="3"/>
        <charset val="134"/>
        <scheme val="minor"/>
      </rPr>
      <t xml:space="preserve"> (mol/L)</t>
    </r>
  </si>
  <si>
    <r>
      <t>p</t>
    </r>
    <r>
      <rPr>
        <vertAlign val="subscript"/>
        <sz val="11"/>
        <color theme="1"/>
        <rFont val="Calibri"/>
        <family val="3"/>
        <charset val="134"/>
        <scheme val="minor"/>
      </rPr>
      <t>f</t>
    </r>
    <r>
      <rPr>
        <sz val="11"/>
        <color theme="1"/>
        <rFont val="Calibri"/>
        <family val="3"/>
        <charset val="134"/>
        <scheme val="minor"/>
      </rPr>
      <t xml:space="preserve"> (cm/s)</t>
    </r>
  </si>
  <si>
    <r>
      <t>P</t>
    </r>
    <r>
      <rPr>
        <vertAlign val="subscript"/>
        <sz val="11"/>
        <color theme="1"/>
        <rFont val="Calibri"/>
        <family val="3"/>
        <charset val="134"/>
        <scheme val="minor"/>
      </rPr>
      <t>f</t>
    </r>
    <r>
      <rPr>
        <sz val="11"/>
        <color theme="1"/>
        <rFont val="Calibri"/>
        <family val="3"/>
        <charset val="134"/>
        <scheme val="minor"/>
      </rPr>
      <t xml:space="preserve"> (10</t>
    </r>
    <r>
      <rPr>
        <vertAlign val="superscript"/>
        <sz val="11"/>
        <color theme="1"/>
        <rFont val="Calibri"/>
        <family val="3"/>
        <charset val="134"/>
        <scheme val="minor"/>
      </rPr>
      <t xml:space="preserve">-14 </t>
    </r>
    <r>
      <rPr>
        <sz val="11"/>
        <color theme="1"/>
        <rFont val="Calibri"/>
        <family val="3"/>
        <charset val="134"/>
        <scheme val="minor"/>
      </rPr>
      <t>cm</t>
    </r>
    <r>
      <rPr>
        <vertAlign val="superscript"/>
        <sz val="11"/>
        <color theme="1"/>
        <rFont val="Calibri"/>
        <family val="3"/>
        <charset val="134"/>
        <scheme val="minor"/>
      </rPr>
      <t>3</t>
    </r>
    <r>
      <rPr>
        <sz val="11"/>
        <color theme="1"/>
        <rFont val="Calibri"/>
        <family val="3"/>
        <charset val="134"/>
        <scheme val="minor"/>
      </rPr>
      <t>/s)</t>
    </r>
  </si>
  <si>
    <t>3+LA (without using insertion efficiency)</t>
  </si>
  <si>
    <t>3+LA</t>
  </si>
  <si>
    <t>4+LA (without using insertion efficiency)</t>
  </si>
  <si>
    <t>4+LA</t>
  </si>
  <si>
    <t>4+LA (re-calculated using insertion efficiency)</t>
  </si>
  <si>
    <t>5+LA (without using insertion efficiency)</t>
  </si>
  <si>
    <t>5+LA</t>
  </si>
  <si>
    <t>Compound 5</t>
  </si>
  <si>
    <t>Compound 3</t>
  </si>
  <si>
    <t>Compound 4</t>
  </si>
  <si>
    <t>°C</t>
  </si>
  <si>
    <t>T (K)</t>
  </si>
  <si>
    <r>
      <t>1000/T (K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</si>
  <si>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k</t>
  </si>
  <si>
    <t>ln k</t>
  </si>
  <si>
    <r>
      <t>p</t>
    </r>
    <r>
      <rPr>
        <vertAlign val="subscript"/>
        <sz val="11"/>
        <color theme="1"/>
        <rFont val="Calibri"/>
        <family val="2"/>
        <scheme val="minor"/>
      </rPr>
      <t xml:space="preserve">f </t>
    </r>
    <r>
      <rPr>
        <sz val="11"/>
        <color theme="1"/>
        <rFont val="Calibri"/>
        <family val="2"/>
        <scheme val="minor"/>
      </rPr>
      <t>(um/s)</t>
    </r>
  </si>
  <si>
    <r>
      <t>ln (p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</t>
    </r>
  </si>
  <si>
    <t>Ea (KCal/mol)</t>
  </si>
  <si>
    <t>Avg of three values</t>
  </si>
  <si>
    <t xml:space="preserve">k </t>
  </si>
  <si>
    <t>Sample_pf - Blank_pf(cm/s)</t>
  </si>
  <si>
    <t>300 mM Sucrose</t>
  </si>
  <si>
    <t>250 mM NaCl</t>
  </si>
  <si>
    <t>150 mM KCl + 100 mM NaCl</t>
  </si>
  <si>
    <t>after blank substraction</t>
  </si>
  <si>
    <r>
      <t>Sample_p</t>
    </r>
    <r>
      <rPr>
        <vertAlign val="subscript"/>
        <sz val="11"/>
        <color theme="1"/>
        <rFont val="Calibri"/>
        <family val="2"/>
        <scheme val="minor"/>
      </rPr>
      <t>f -</t>
    </r>
    <r>
      <rPr>
        <sz val="11"/>
        <color theme="1"/>
        <rFont val="Calibri"/>
        <family val="2"/>
        <scheme val="minor"/>
      </rPr>
      <t xml:space="preserve"> Blank_pf(cm/s)</t>
    </r>
  </si>
  <si>
    <t>gA</t>
  </si>
  <si>
    <t>4-LA</t>
  </si>
  <si>
    <t>Ref.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</si>
</sst>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1"/>
      <name val="Calibri"/>
      <family val="2"/>
      <scheme val="minor"/>
    </font>
    <font>
      <sz val="10"/>
      <color rgb="FF000000"/>
      <name val="Tahoma"/>
      <family val="2"/>
    </font>
    <font>
      <sz val="11"/>
      <color theme="1"/>
      <name val="Calibri"/>
      <family val="3"/>
      <charset val="134"/>
      <scheme val="minor"/>
    </font>
    <font>
      <vertAlign val="subscript"/>
      <sz val="11"/>
      <color theme="1"/>
      <name val="Calibri"/>
      <family val="3"/>
      <charset val="134"/>
      <scheme val="minor"/>
    </font>
    <font>
      <vertAlign val="superscript"/>
      <sz val="11"/>
      <color theme="1"/>
      <name val="Calibri"/>
      <family val="3"/>
      <charset val="134"/>
      <scheme val="minor"/>
    </font>
    <font>
      <sz val="11"/>
      <color rgb="FF000000"/>
      <name val="Calibri"/>
      <family val="3"/>
      <charset val="134"/>
      <scheme val="minor"/>
    </font>
    <font>
      <sz val="11"/>
      <name val="Calibri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2" fontId="0" fillId="0" borderId="0" xfId="0" applyNumberFormat="1" applyFill="1"/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0" fillId="3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508027121609801"/>
                  <c:y val="0.1261249635462233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-4.3779x + 19.538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[1]Sheet4!$C$5:$C$9</c:f>
              <c:numCache>
                <c:formatCode>General</c:formatCode>
                <c:ptCount val="5"/>
                <c:pt idx="0">
                  <c:v>3.5823034210997675</c:v>
                </c:pt>
                <c:pt idx="1">
                  <c:v>3.5316969803990821</c:v>
                </c:pt>
                <c:pt idx="2">
                  <c:v>3.4704147145583901</c:v>
                </c:pt>
                <c:pt idx="3">
                  <c:v>3.4112229234180456</c:v>
                </c:pt>
                <c:pt idx="4">
                  <c:v>3.3540164346805303</c:v>
                </c:pt>
              </c:numCache>
            </c:numRef>
          </c:xVal>
          <c:yVal>
            <c:numRef>
              <c:f>[1]Sheet4!$G$5:$G$9</c:f>
              <c:numCache>
                <c:formatCode>General</c:formatCode>
                <c:ptCount val="5"/>
                <c:pt idx="0">
                  <c:v>3.9103216412330686</c:v>
                </c:pt>
                <c:pt idx="1">
                  <c:v>4.0494151353945673</c:v>
                </c:pt>
                <c:pt idx="2">
                  <c:v>4.4069820853480239</c:v>
                </c:pt>
                <c:pt idx="3">
                  <c:v>4.3439288443046946</c:v>
                </c:pt>
                <c:pt idx="4">
                  <c:v>5.0255564224310421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1B-43EF-8DAD-E389EFBFC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970943"/>
        <c:axId val="556980095"/>
      </c:scatterChart>
      <c:valAx>
        <c:axId val="556970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980095"/>
        <c:crosses val="autoZero"/>
        <c:crossBetween val="midCat"/>
      </c:valAx>
      <c:valAx>
        <c:axId val="556980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970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0080271216098"/>
                  <c:y val="4.316564596092155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-4.2145x + 19.219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[1]Sheet4!$K$5:$K$9</c:f>
              <c:numCache>
                <c:formatCode>General</c:formatCode>
                <c:ptCount val="5"/>
                <c:pt idx="0">
                  <c:v>3.5823034210997675</c:v>
                </c:pt>
                <c:pt idx="1">
                  <c:v>3.5316969803990821</c:v>
                </c:pt>
                <c:pt idx="2">
                  <c:v>3.4704147145583901</c:v>
                </c:pt>
                <c:pt idx="3">
                  <c:v>3.4112229234180456</c:v>
                </c:pt>
                <c:pt idx="4">
                  <c:v>3.3540164346805303</c:v>
                </c:pt>
              </c:numCache>
            </c:numRef>
          </c:xVal>
          <c:yVal>
            <c:numRef>
              <c:f>[1]Sheet4!$O$5:$O$9</c:f>
              <c:numCache>
                <c:formatCode>General</c:formatCode>
                <c:ptCount val="5"/>
                <c:pt idx="0">
                  <c:v>4.2247356640644291</c:v>
                </c:pt>
                <c:pt idx="1">
                  <c:v>4.2762050216433236</c:v>
                </c:pt>
                <c:pt idx="2">
                  <c:v>4.49924693772327</c:v>
                </c:pt>
                <c:pt idx="3">
                  <c:v>4.7999899428242125</c:v>
                </c:pt>
                <c:pt idx="4">
                  <c:v>5.173640903500063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8C-426D-8C20-033268F6E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881711"/>
        <c:axId val="436875471"/>
      </c:scatterChart>
      <c:valAx>
        <c:axId val="436881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875471"/>
        <c:crosses val="autoZero"/>
        <c:crossBetween val="midCat"/>
      </c:valAx>
      <c:valAx>
        <c:axId val="43687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881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564370078740156"/>
                  <c:y val="2.587051618547681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-5.7752x + 23.185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[1]Sheet4!$S$5:$S$9</c:f>
              <c:numCache>
                <c:formatCode>General</c:formatCode>
                <c:ptCount val="5"/>
                <c:pt idx="0">
                  <c:v>3.5823034210997675</c:v>
                </c:pt>
                <c:pt idx="1">
                  <c:v>3.5316969803990821</c:v>
                </c:pt>
                <c:pt idx="2">
                  <c:v>3.4704147145583901</c:v>
                </c:pt>
                <c:pt idx="3">
                  <c:v>3.4112229234180456</c:v>
                </c:pt>
                <c:pt idx="4">
                  <c:v>3.3540164346805303</c:v>
                </c:pt>
              </c:numCache>
            </c:numRef>
          </c:xVal>
          <c:yVal>
            <c:numRef>
              <c:f>[1]Sheet4!$W$5:$W$9</c:f>
              <c:numCache>
                <c:formatCode>General</c:formatCode>
                <c:ptCount val="5"/>
                <c:pt idx="0">
                  <c:v>2.7968362141988163</c:v>
                </c:pt>
                <c:pt idx="1">
                  <c:v>2.3109769432091141</c:v>
                </c:pt>
                <c:pt idx="2">
                  <c:v>3.3511614727390331</c:v>
                </c:pt>
                <c:pt idx="3">
                  <c:v>3.3492460121522973</c:v>
                </c:pt>
                <c:pt idx="4">
                  <c:v>3.920851817747681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C3-4F18-B9EC-512368892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487887"/>
        <c:axId val="434488303"/>
      </c:scatterChart>
      <c:valAx>
        <c:axId val="434487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488303"/>
        <c:crosses val="autoZero"/>
        <c:crossBetween val="midCat"/>
      </c:valAx>
      <c:valAx>
        <c:axId val="434488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487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7953258967629047"/>
                  <c:y val="9.13743073782443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[1]Sheet4!$AA$5:$AA$9</c:f>
              <c:numCache>
                <c:formatCode>General</c:formatCode>
                <c:ptCount val="5"/>
                <c:pt idx="0">
                  <c:v>3.5823034210997675</c:v>
                </c:pt>
                <c:pt idx="1">
                  <c:v>3.5316969803990821</c:v>
                </c:pt>
                <c:pt idx="2">
                  <c:v>3.4704147145583901</c:v>
                </c:pt>
                <c:pt idx="3">
                  <c:v>3.4112229234180456</c:v>
                </c:pt>
                <c:pt idx="4">
                  <c:v>3.3540164346805303</c:v>
                </c:pt>
              </c:numCache>
            </c:numRef>
          </c:xVal>
          <c:yVal>
            <c:numRef>
              <c:f>[1]Sheet4!$AE$5:$AE$9</c:f>
              <c:numCache>
                <c:formatCode>General</c:formatCode>
                <c:ptCount val="5"/>
                <c:pt idx="0">
                  <c:v>3.1254518321722187</c:v>
                </c:pt>
                <c:pt idx="1">
                  <c:v>3.5996364081065382</c:v>
                </c:pt>
                <c:pt idx="2">
                  <c:v>4.0452674587413737</c:v>
                </c:pt>
                <c:pt idx="3">
                  <c:v>4.2588000190749336</c:v>
                </c:pt>
                <c:pt idx="4">
                  <c:v>4.5832255996680189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C-496A-9FA0-70406179E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074431"/>
        <c:axId val="411025183"/>
      </c:scatterChart>
      <c:valAx>
        <c:axId val="408074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25183"/>
        <c:crosses val="autoZero"/>
        <c:crossBetween val="midCat"/>
      </c:valAx>
      <c:valAx>
        <c:axId val="41102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0744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14</xdr:row>
      <xdr:rowOff>47625</xdr:rowOff>
    </xdr:from>
    <xdr:to>
      <xdr:col>7</xdr:col>
      <xdr:colOff>1</xdr:colOff>
      <xdr:row>28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447675</xdr:colOff>
      <xdr:row>14</xdr:row>
      <xdr:rowOff>19050</xdr:rowOff>
    </xdr:from>
    <xdr:to>
      <xdr:col>16</xdr:col>
      <xdr:colOff>142875</xdr:colOff>
      <xdr:row>28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590550</xdr:colOff>
      <xdr:row>13</xdr:row>
      <xdr:rowOff>85725</xdr:rowOff>
    </xdr:from>
    <xdr:to>
      <xdr:col>24</xdr:col>
      <xdr:colOff>285750</xdr:colOff>
      <xdr:row>27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28575</xdr:colOff>
      <xdr:row>13</xdr:row>
      <xdr:rowOff>0</xdr:rowOff>
    </xdr:from>
    <xdr:to>
      <xdr:col>32</xdr:col>
      <xdr:colOff>333375</xdr:colOff>
      <xdr:row>27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esktop\Data%20file%20for%20submission\Arundhati%20Files\Activation%20Energy%20202002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>
        <row r="5">
          <cell r="C5">
            <v>3.5823034210997675</v>
          </cell>
          <cell r="G5">
            <v>3.9103216412330686</v>
          </cell>
          <cell r="K5">
            <v>3.5823034210997675</v>
          </cell>
          <cell r="O5">
            <v>4.2247356640644291</v>
          </cell>
          <cell r="S5">
            <v>3.5823034210997675</v>
          </cell>
          <cell r="W5">
            <v>2.7968362141988163</v>
          </cell>
          <cell r="AA5">
            <v>3.5823034210997675</v>
          </cell>
          <cell r="AE5">
            <v>3.1254518321722187</v>
          </cell>
        </row>
        <row r="6">
          <cell r="C6">
            <v>3.5316969803990821</v>
          </cell>
          <cell r="G6">
            <v>4.0494151353945673</v>
          </cell>
          <cell r="K6">
            <v>3.5316969803990821</v>
          </cell>
          <cell r="O6">
            <v>4.2762050216433236</v>
          </cell>
          <cell r="S6">
            <v>3.5316969803990821</v>
          </cell>
          <cell r="W6">
            <v>2.3109769432091141</v>
          </cell>
          <cell r="AA6">
            <v>3.5316969803990821</v>
          </cell>
          <cell r="AE6">
            <v>3.5996364081065382</v>
          </cell>
        </row>
        <row r="7">
          <cell r="C7">
            <v>3.4704147145583901</v>
          </cell>
          <cell r="G7">
            <v>4.4069820853480239</v>
          </cell>
          <cell r="K7">
            <v>3.4704147145583901</v>
          </cell>
          <cell r="O7">
            <v>4.49924693772327</v>
          </cell>
          <cell r="S7">
            <v>3.4704147145583901</v>
          </cell>
          <cell r="W7">
            <v>3.3511614727390331</v>
          </cell>
          <cell r="AA7">
            <v>3.4704147145583901</v>
          </cell>
          <cell r="AE7">
            <v>4.0452674587413737</v>
          </cell>
        </row>
        <row r="8">
          <cell r="C8">
            <v>3.4112229234180456</v>
          </cell>
          <cell r="G8">
            <v>4.3439288443046946</v>
          </cell>
          <cell r="K8">
            <v>3.4112229234180456</v>
          </cell>
          <cell r="O8">
            <v>4.7999899428242125</v>
          </cell>
          <cell r="S8">
            <v>3.4112229234180456</v>
          </cell>
          <cell r="W8">
            <v>3.3492460121522973</v>
          </cell>
          <cell r="AA8">
            <v>3.4112229234180456</v>
          </cell>
          <cell r="AE8">
            <v>4.2588000190749336</v>
          </cell>
        </row>
        <row r="9">
          <cell r="C9">
            <v>3.3540164346805303</v>
          </cell>
          <cell r="G9">
            <v>5.0255564224310421</v>
          </cell>
          <cell r="K9">
            <v>3.3540164346805303</v>
          </cell>
          <cell r="O9">
            <v>5.173640903500063</v>
          </cell>
          <cell r="S9">
            <v>3.3540164346805303</v>
          </cell>
          <cell r="W9">
            <v>3.920851817747681</v>
          </cell>
          <cell r="AA9">
            <v>3.3540164346805303</v>
          </cell>
          <cell r="AE9">
            <v>4.5832255996680189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zoomScaleNormal="100" workbookViewId="0">
      <selection activeCell="E21" sqref="E21"/>
    </sheetView>
  </sheetViews>
  <sheetFormatPr defaultRowHeight="15"/>
  <cols>
    <col min="1" max="1" width="16.42578125" bestFit="1" customWidth="1"/>
    <col min="2" max="2" width="15.42578125" customWidth="1"/>
    <col min="3" max="3" width="12.28515625" customWidth="1"/>
    <col min="4" max="4" width="11" customWidth="1"/>
    <col min="5" max="5" width="11.42578125" customWidth="1"/>
    <col min="6" max="7" width="8.42578125" style="1" customWidth="1"/>
    <col min="8" max="8" width="7.85546875" style="1" customWidth="1"/>
    <col min="9" max="9" width="9.140625" customWidth="1"/>
    <col min="10" max="10" width="10" customWidth="1"/>
    <col min="11" max="11" width="13.7109375" bestFit="1" customWidth="1"/>
    <col min="12" max="12" width="17.5703125" bestFit="1" customWidth="1"/>
    <col min="13" max="13" width="12" bestFit="1" customWidth="1"/>
    <col min="14" max="14" width="12" customWidth="1"/>
    <col min="16" max="16" width="7.85546875" customWidth="1"/>
    <col min="17" max="17" width="9.140625" hidden="1" customWidth="1"/>
    <col min="18" max="18" width="6.42578125" customWidth="1"/>
  </cols>
  <sheetData>
    <row r="1" spans="1:21">
      <c r="A1" s="9" t="s">
        <v>28</v>
      </c>
      <c r="B1" s="9"/>
      <c r="C1" s="9"/>
      <c r="F1" s="27" t="s">
        <v>18</v>
      </c>
      <c r="G1" s="27"/>
      <c r="H1" s="27"/>
      <c r="O1" s="27" t="s">
        <v>11</v>
      </c>
      <c r="P1" s="27"/>
      <c r="Q1" s="27"/>
      <c r="R1" s="27"/>
      <c r="S1" s="27"/>
      <c r="T1" s="27"/>
    </row>
    <row r="2" spans="1:21" ht="18.75">
      <c r="A2" s="4"/>
      <c r="B2" s="1" t="s">
        <v>7</v>
      </c>
      <c r="C2" s="2" t="s">
        <v>6</v>
      </c>
      <c r="D2" s="4" t="s">
        <v>3</v>
      </c>
      <c r="E2" s="4" t="s">
        <v>4</v>
      </c>
      <c r="F2" s="1" t="s">
        <v>0</v>
      </c>
      <c r="G2" s="1" t="s">
        <v>1</v>
      </c>
      <c r="H2" s="1" t="s">
        <v>16</v>
      </c>
      <c r="I2" s="1" t="s">
        <v>2</v>
      </c>
      <c r="J2" s="1" t="s">
        <v>8</v>
      </c>
      <c r="K2" s="1" t="s">
        <v>9</v>
      </c>
      <c r="L2" s="18" t="s">
        <v>22</v>
      </c>
      <c r="M2" s="18" t="s">
        <v>23</v>
      </c>
      <c r="N2" s="18"/>
      <c r="O2" s="1" t="s">
        <v>12</v>
      </c>
      <c r="P2" s="1" t="s">
        <v>13</v>
      </c>
      <c r="R2" s="1" t="s">
        <v>14</v>
      </c>
      <c r="S2" s="1" t="s">
        <v>17</v>
      </c>
      <c r="T2" s="1" t="s">
        <v>15</v>
      </c>
    </row>
    <row r="3" spans="1:21" ht="15.75" customHeight="1">
      <c r="A3" s="4" t="s">
        <v>10</v>
      </c>
      <c r="B3" s="4" t="s">
        <v>5</v>
      </c>
      <c r="C3" s="4">
        <v>0.15</v>
      </c>
      <c r="D3" s="13">
        <f>T3</f>
        <v>124.66666666666667</v>
      </c>
      <c r="E3" s="13">
        <f>D3/2</f>
        <v>62.333333333333336</v>
      </c>
      <c r="F3" s="4">
        <v>13.7</v>
      </c>
      <c r="G3" s="4">
        <v>13.67</v>
      </c>
      <c r="H3" s="4">
        <v>13.95</v>
      </c>
      <c r="I3" s="4">
        <f>(H3+G3+F3)/3</f>
        <v>13.773333333333332</v>
      </c>
      <c r="J3" s="4">
        <f t="shared" ref="J3:J9" si="0">(I3*E3)/(3*0.018*C3)/10000000</f>
        <v>1.0599231824417013E-2</v>
      </c>
      <c r="K3" s="4" t="s">
        <v>5</v>
      </c>
      <c r="L3" s="13"/>
      <c r="M3" s="3"/>
      <c r="N3" s="3"/>
      <c r="O3">
        <v>124.5</v>
      </c>
      <c r="P3" s="3">
        <v>125.3</v>
      </c>
      <c r="Q3">
        <v>82.62</v>
      </c>
      <c r="R3" s="3">
        <v>124.2</v>
      </c>
      <c r="S3" s="6">
        <f>(O3+P3+R3)</f>
        <v>374</v>
      </c>
      <c r="T3">
        <f>S3/3</f>
        <v>124.66666666666667</v>
      </c>
    </row>
    <row r="4" spans="1:21">
      <c r="A4" s="5" t="s">
        <v>29</v>
      </c>
      <c r="B4" s="13">
        <v>4000</v>
      </c>
      <c r="C4" s="13">
        <v>0.15</v>
      </c>
      <c r="D4" s="13">
        <v>105.7</v>
      </c>
      <c r="E4" s="13">
        <f t="shared" ref="E4:E5" si="1">D4/2</f>
        <v>52.85</v>
      </c>
      <c r="F4" s="13">
        <v>27.7</v>
      </c>
      <c r="G4" s="13">
        <v>26</v>
      </c>
      <c r="H4" s="13">
        <v>26.5</v>
      </c>
      <c r="I4" s="13">
        <f t="shared" ref="I4:I5" si="2">(H4+G4+F4)/3</f>
        <v>26.733333333333334</v>
      </c>
      <c r="J4" s="13">
        <f t="shared" si="0"/>
        <v>1.7442674897119349E-2</v>
      </c>
      <c r="K4" s="8">
        <f>(J4-J3)*(B4/2+2)*76.56/100</f>
        <v>10.48915871295474</v>
      </c>
      <c r="L4" s="8">
        <f>AVERAGE(K4:K6)</f>
        <v>11.394317223013006</v>
      </c>
      <c r="M4" s="3">
        <f>STDEVA(K4:K6)</f>
        <v>1.0028821014174121</v>
      </c>
      <c r="N4" s="3"/>
    </row>
    <row r="5" spans="1:21">
      <c r="A5" s="5" t="s">
        <v>29</v>
      </c>
      <c r="B5" s="13">
        <v>4000</v>
      </c>
      <c r="C5" s="13">
        <v>0.15</v>
      </c>
      <c r="D5" s="13">
        <v>106.18</v>
      </c>
      <c r="E5" s="13">
        <f t="shared" si="1"/>
        <v>53.09</v>
      </c>
      <c r="F5" s="13">
        <v>28.46</v>
      </c>
      <c r="G5" s="13">
        <v>29.2</v>
      </c>
      <c r="H5" s="13">
        <v>28.1</v>
      </c>
      <c r="I5" s="13">
        <f t="shared" si="2"/>
        <v>28.586666666666662</v>
      </c>
      <c r="J5" s="13">
        <f t="shared" si="0"/>
        <v>1.8736618930041155E-2</v>
      </c>
      <c r="K5" s="8">
        <f>(J5-J3)*(B5/2+2)*76.56/100</f>
        <v>12.472427103267819</v>
      </c>
      <c r="L5" s="8"/>
      <c r="S5" s="13"/>
      <c r="T5" s="13"/>
      <c r="U5" s="13"/>
    </row>
    <row r="6" spans="1:21">
      <c r="A6" s="5" t="s">
        <v>29</v>
      </c>
      <c r="B6" s="13">
        <v>4000</v>
      </c>
      <c r="C6" s="13">
        <v>0.15</v>
      </c>
      <c r="D6" s="15">
        <v>95.34</v>
      </c>
      <c r="E6" s="13">
        <f t="shared" ref="E6" si="3">D6/2</f>
        <v>47.67</v>
      </c>
      <c r="F6" s="15">
        <v>31.86</v>
      </c>
      <c r="G6" s="15">
        <v>30.41</v>
      </c>
      <c r="H6" s="15">
        <v>29.08</v>
      </c>
      <c r="I6" s="13">
        <f t="shared" ref="I6:I10" si="4">(H6+G6+F6)/3</f>
        <v>30.45</v>
      </c>
      <c r="J6" s="13">
        <f t="shared" si="0"/>
        <v>1.7920388888888892E-2</v>
      </c>
      <c r="K6" s="8">
        <f>(J6-J3)*(B6/2+2)*76.56/100</f>
        <v>11.221365852816461</v>
      </c>
      <c r="L6" s="8"/>
      <c r="S6" s="13"/>
      <c r="T6" s="13"/>
      <c r="U6" s="13"/>
    </row>
    <row r="7" spans="1:21">
      <c r="A7" s="5"/>
      <c r="B7" s="13"/>
      <c r="C7" s="13"/>
      <c r="D7" s="13"/>
      <c r="E7" s="13"/>
      <c r="F7" s="13"/>
      <c r="G7" s="13"/>
      <c r="H7" s="13"/>
      <c r="I7" s="13"/>
      <c r="J7" s="13"/>
      <c r="K7" s="8"/>
      <c r="L7" s="8"/>
      <c r="S7" s="13"/>
      <c r="T7" s="13"/>
      <c r="U7" s="13"/>
    </row>
    <row r="8" spans="1:21">
      <c r="A8" s="5" t="s">
        <v>29</v>
      </c>
      <c r="B8" s="4">
        <v>8000</v>
      </c>
      <c r="C8" s="4">
        <v>0.15</v>
      </c>
      <c r="D8" s="13">
        <v>116.61</v>
      </c>
      <c r="E8" s="13">
        <f t="shared" ref="E8:E9" si="5">D8/2</f>
        <v>58.305</v>
      </c>
      <c r="F8" s="13">
        <v>21.65</v>
      </c>
      <c r="G8" s="13">
        <v>25.49</v>
      </c>
      <c r="H8" s="13">
        <v>21.55</v>
      </c>
      <c r="I8" s="13">
        <f t="shared" ref="I8" si="6">(H8+G8+F8)/3</f>
        <v>22.896666666666665</v>
      </c>
      <c r="J8" s="13">
        <f t="shared" si="0"/>
        <v>1.6481359876543214E-2</v>
      </c>
      <c r="K8" s="8">
        <f>(J8-J3)*(B8/2+2)*76.56/100</f>
        <v>18.022435661304694</v>
      </c>
      <c r="L8" s="8">
        <f>AVERAGE(K8:K10)</f>
        <v>21.677315131315556</v>
      </c>
      <c r="M8" s="3">
        <f>STDEVA(K8:K10)</f>
        <v>3.7585695980269467</v>
      </c>
      <c r="N8" s="3"/>
      <c r="S8" s="13"/>
      <c r="T8" s="13"/>
      <c r="U8" s="13"/>
    </row>
    <row r="9" spans="1:21">
      <c r="A9" s="5" t="s">
        <v>29</v>
      </c>
      <c r="B9" s="4">
        <v>8000</v>
      </c>
      <c r="C9" s="4">
        <v>0.15</v>
      </c>
      <c r="D9" s="13">
        <v>99.6</v>
      </c>
      <c r="E9" s="13">
        <f t="shared" si="5"/>
        <v>49.8</v>
      </c>
      <c r="F9" s="13">
        <v>30.58</v>
      </c>
      <c r="G9" s="13">
        <v>30.91</v>
      </c>
      <c r="H9" s="7">
        <v>30.89</v>
      </c>
      <c r="I9" s="4">
        <f t="shared" si="4"/>
        <v>30.793333333333333</v>
      </c>
      <c r="J9" s="13">
        <f t="shared" si="0"/>
        <v>1.8932197530864201E-2</v>
      </c>
      <c r="K9" s="8">
        <f>(J9-J3)*(B9/2+2)*76.56/100</f>
        <v>25.531633616513581</v>
      </c>
      <c r="L9" s="8"/>
      <c r="M9" s="3"/>
      <c r="N9" s="3"/>
      <c r="S9" s="13"/>
      <c r="T9" s="13"/>
      <c r="U9" s="13"/>
    </row>
    <row r="10" spans="1:21">
      <c r="A10" s="5" t="s">
        <v>29</v>
      </c>
      <c r="B10" s="4">
        <v>8000</v>
      </c>
      <c r="C10" s="4">
        <v>0.15</v>
      </c>
      <c r="D10" s="13">
        <v>100.6</v>
      </c>
      <c r="E10" s="13">
        <f t="shared" ref="E10" si="7">D10/2</f>
        <v>50.3</v>
      </c>
      <c r="F10" s="4">
        <v>25.99</v>
      </c>
      <c r="G10" s="4">
        <v>28.5</v>
      </c>
      <c r="H10" s="4">
        <v>30.58</v>
      </c>
      <c r="I10" s="4">
        <f t="shared" si="4"/>
        <v>28.356666666666666</v>
      </c>
      <c r="J10" s="4">
        <f t="shared" ref="J10" si="8">(I10*E10)/(3*0.018*C10)/10000000</f>
        <v>1.7609139917695475E-2</v>
      </c>
      <c r="K10" s="8">
        <f>(J10-J3)*(B10/2+2)*76.56/100</f>
        <v>21.477876116128392</v>
      </c>
      <c r="L10" s="8"/>
      <c r="M10" s="3"/>
      <c r="N10" s="3"/>
      <c r="S10" s="13"/>
      <c r="T10" s="13"/>
      <c r="U10" s="13"/>
    </row>
    <row r="11" spans="1:21" s="3" customFormat="1">
      <c r="A11" s="5"/>
      <c r="B11" s="13"/>
      <c r="C11" s="13"/>
      <c r="D11" s="13"/>
      <c r="E11" s="13"/>
      <c r="F11" s="13"/>
      <c r="G11" s="13"/>
      <c r="H11" s="13"/>
      <c r="I11" s="13"/>
      <c r="J11" s="13"/>
      <c r="K11" s="8"/>
      <c r="L11" s="8"/>
      <c r="S11" s="13"/>
      <c r="T11" s="13"/>
      <c r="U11" s="13"/>
    </row>
    <row r="12" spans="1:21">
      <c r="A12" s="5" t="s">
        <v>29</v>
      </c>
      <c r="B12" s="4">
        <v>10000</v>
      </c>
      <c r="C12" s="4">
        <v>0.15</v>
      </c>
      <c r="D12" s="15">
        <v>103.34</v>
      </c>
      <c r="E12" s="13">
        <f t="shared" ref="E12" si="9">D12/2</f>
        <v>51.67</v>
      </c>
      <c r="F12" s="4">
        <v>20.03</v>
      </c>
      <c r="G12" s="4">
        <v>18.64</v>
      </c>
      <c r="H12" s="4">
        <v>21.31</v>
      </c>
      <c r="I12" s="4">
        <f t="shared" ref="I12" si="10">(H12+G12+F12)/3</f>
        <v>19.993333333333336</v>
      </c>
      <c r="J12" s="4">
        <f>(I12*E12)/(3*0.018*C12)/10000000</f>
        <v>1.2753772016460909E-2</v>
      </c>
      <c r="K12" s="8">
        <f>(J12-J3)*(B12/2+2)*76.56/100</f>
        <v>8.2508788870860936</v>
      </c>
      <c r="L12" s="8">
        <f>AVERAGE(K12:K14)</f>
        <v>8.2883187269929177</v>
      </c>
      <c r="M12" s="3">
        <f>STDEVA(K12:K14)</f>
        <v>0.55326662046587194</v>
      </c>
      <c r="N12" s="3"/>
      <c r="S12" s="13"/>
      <c r="T12" s="13"/>
      <c r="U12" s="13"/>
    </row>
    <row r="13" spans="1:21">
      <c r="A13" s="5" t="s">
        <v>29</v>
      </c>
      <c r="B13" s="4">
        <v>10000</v>
      </c>
      <c r="C13" s="4">
        <v>0.15</v>
      </c>
      <c r="D13" s="13">
        <v>104.61</v>
      </c>
      <c r="E13" s="13">
        <f t="shared" ref="E13:E14" si="11">D13/2</f>
        <v>52.305</v>
      </c>
      <c r="F13" s="4">
        <v>19.850000000000001</v>
      </c>
      <c r="G13" s="4">
        <v>20.59</v>
      </c>
      <c r="H13" s="4">
        <v>19.55</v>
      </c>
      <c r="I13" s="4">
        <f t="shared" ref="I13:I14" si="12">(H13+G13+F13)/3</f>
        <v>19.996666666666666</v>
      </c>
      <c r="J13" s="4">
        <f>(I13*E13)/(3*0.018*C13)/10000000</f>
        <v>1.2912662345679013E-2</v>
      </c>
      <c r="K13" s="8">
        <f>(J13-J3)*(B13/2+2)*76.56/100</f>
        <v>8.8593543602050957</v>
      </c>
      <c r="L13" s="8"/>
      <c r="M13" s="3"/>
      <c r="N13" s="3"/>
      <c r="S13" s="13"/>
      <c r="T13" s="13"/>
      <c r="U13" s="13"/>
    </row>
    <row r="14" spans="1:21">
      <c r="A14" s="5" t="s">
        <v>29</v>
      </c>
      <c r="B14" s="4">
        <v>10000</v>
      </c>
      <c r="C14" s="4">
        <v>0.15</v>
      </c>
      <c r="D14" s="13">
        <v>107.96</v>
      </c>
      <c r="E14" s="13">
        <f t="shared" si="11"/>
        <v>53.98</v>
      </c>
      <c r="F14" s="4">
        <v>19.22</v>
      </c>
      <c r="G14" s="4">
        <v>18.5</v>
      </c>
      <c r="H14" s="4">
        <v>19.11</v>
      </c>
      <c r="I14" s="4">
        <f t="shared" si="12"/>
        <v>18.943333333333332</v>
      </c>
      <c r="J14" s="4">
        <f t="shared" ref="J14" si="13">(I14*E14)/(3*0.018*C14)/10000000</f>
        <v>1.2624211522633745E-2</v>
      </c>
      <c r="K14" s="8">
        <f>(J14-J3)*(B14/2+2)*76.56/100</f>
        <v>7.7547229336875612</v>
      </c>
      <c r="L14" s="8"/>
      <c r="M14" s="3"/>
      <c r="N14" s="3"/>
      <c r="S14" s="13"/>
      <c r="T14" s="13"/>
      <c r="U14" s="13"/>
    </row>
    <row r="15" spans="1:21" s="3" customFormat="1">
      <c r="A15"/>
      <c r="B15"/>
      <c r="C15"/>
      <c r="F15" s="1"/>
      <c r="G15" s="1"/>
      <c r="H15" s="1"/>
      <c r="I15"/>
      <c r="J15"/>
      <c r="K15"/>
      <c r="L15" s="8"/>
      <c r="S15" s="13"/>
      <c r="T15" s="13"/>
      <c r="U15" s="13"/>
    </row>
    <row r="16" spans="1:21">
      <c r="A16" s="5" t="s">
        <v>29</v>
      </c>
      <c r="B16" s="15">
        <v>6000</v>
      </c>
      <c r="C16" s="15">
        <v>0.15</v>
      </c>
      <c r="D16" s="13">
        <v>107.9</v>
      </c>
      <c r="E16" s="15">
        <f>D16/2</f>
        <v>53.95</v>
      </c>
      <c r="F16" s="15">
        <v>39.49</v>
      </c>
      <c r="G16" s="15">
        <v>38.97</v>
      </c>
      <c r="H16" s="15">
        <v>37.61</v>
      </c>
      <c r="I16" s="15">
        <f>(G16++F16+H16)/3</f>
        <v>38.690000000000005</v>
      </c>
      <c r="J16" s="15">
        <f>(I16*E16)/(3*0.018*C16)/10000000</f>
        <v>2.5769450617283959E-2</v>
      </c>
      <c r="K16" s="17">
        <f>(J16-J3)*(B16/2+2)*76.56/100</f>
        <v>34.866187162472436</v>
      </c>
      <c r="L16" s="8">
        <f>AVERAGE(K16:K18)</f>
        <v>36.576391487252685</v>
      </c>
      <c r="M16" s="3">
        <f>STDEVA(K16:K18)</f>
        <v>1.9703601992937099</v>
      </c>
      <c r="N16" s="3"/>
      <c r="S16" s="13"/>
      <c r="T16" s="13"/>
      <c r="U16" s="13"/>
    </row>
    <row r="17" spans="1:21">
      <c r="A17" s="5" t="s">
        <v>29</v>
      </c>
      <c r="B17" s="15">
        <v>6000</v>
      </c>
      <c r="C17" s="15">
        <v>0.15</v>
      </c>
      <c r="D17" s="15">
        <v>108.8</v>
      </c>
      <c r="E17" s="15">
        <f t="shared" ref="E17:E18" si="14">D17/2</f>
        <v>54.4</v>
      </c>
      <c r="F17" s="15">
        <v>41.75</v>
      </c>
      <c r="G17" s="15">
        <v>37.479999999999997</v>
      </c>
      <c r="H17" s="15">
        <v>38.340000000000003</v>
      </c>
      <c r="I17" s="15">
        <f t="shared" ref="I17:I18" si="15">(G17++F17+H17)/3</f>
        <v>39.19</v>
      </c>
      <c r="J17" s="15">
        <f t="shared" ref="J17:J18" si="16">(I17*E17)/(3*0.018*C17)/10000000</f>
        <v>2.6320197530864203E-2</v>
      </c>
      <c r="K17" s="17">
        <f>(J17-J3)*(B17/2+2)*76.56/100</f>
        <v>36.131985977257614</v>
      </c>
      <c r="L17" s="8"/>
      <c r="M17" s="3"/>
      <c r="N17" s="3"/>
      <c r="S17" s="13"/>
      <c r="T17" s="13"/>
      <c r="U17" s="13"/>
    </row>
    <row r="18" spans="1:21">
      <c r="A18" s="5" t="s">
        <v>29</v>
      </c>
      <c r="B18" s="15">
        <v>6000</v>
      </c>
      <c r="C18" s="15">
        <v>0.15</v>
      </c>
      <c r="D18" s="15">
        <v>101.4</v>
      </c>
      <c r="E18" s="15">
        <f t="shared" si="14"/>
        <v>50.7</v>
      </c>
      <c r="F18" s="15">
        <v>42.72</v>
      </c>
      <c r="G18" s="15">
        <v>43.89</v>
      </c>
      <c r="H18" s="15">
        <v>44.96</v>
      </c>
      <c r="I18" s="15">
        <f t="shared" si="15"/>
        <v>43.856666666666662</v>
      </c>
      <c r="J18" s="15">
        <f t="shared" si="16"/>
        <v>2.7451024691358027E-2</v>
      </c>
      <c r="K18" s="17">
        <f>(J18-J3)*(B18/2+2)*76.56/100</f>
        <v>38.731001322027986</v>
      </c>
      <c r="L18" s="8"/>
      <c r="M18" s="3"/>
      <c r="N18" s="3"/>
      <c r="S18" s="3"/>
      <c r="T18" s="13"/>
      <c r="U18" s="13"/>
    </row>
    <row r="19" spans="1:21">
      <c r="A19" s="16"/>
      <c r="B19" s="15"/>
      <c r="C19" s="15"/>
      <c r="D19" s="15"/>
      <c r="E19" s="15"/>
      <c r="F19" s="15"/>
      <c r="G19" s="15"/>
      <c r="H19" s="15"/>
      <c r="I19" s="15"/>
      <c r="J19" s="15"/>
      <c r="K19" s="17"/>
      <c r="L19" s="8"/>
      <c r="M19" s="3"/>
      <c r="N19" s="3"/>
      <c r="S19" s="13"/>
      <c r="T19" s="13"/>
      <c r="U19" s="13"/>
    </row>
    <row r="20" spans="1:21">
      <c r="A20" s="3"/>
      <c r="B20" s="3"/>
      <c r="F20"/>
      <c r="G20"/>
      <c r="H20"/>
      <c r="L20" s="8"/>
      <c r="M20" s="3"/>
      <c r="N20" s="3"/>
    </row>
    <row r="21" spans="1:21">
      <c r="F21"/>
      <c r="G21"/>
      <c r="H21"/>
      <c r="L21" s="8"/>
      <c r="M21" s="3"/>
      <c r="N21" s="3"/>
    </row>
    <row r="22" spans="1:21">
      <c r="F22"/>
      <c r="G22"/>
      <c r="H22"/>
    </row>
    <row r="23" spans="1:21">
      <c r="F23"/>
      <c r="G23"/>
      <c r="H23"/>
    </row>
    <row r="24" spans="1:21">
      <c r="F24"/>
      <c r="G24"/>
      <c r="H24"/>
    </row>
    <row r="25" spans="1:21">
      <c r="F25"/>
      <c r="G25"/>
      <c r="H25"/>
    </row>
    <row r="26" spans="1:21">
      <c r="F26"/>
      <c r="G26"/>
      <c r="H26"/>
    </row>
    <row r="27" spans="1:21">
      <c r="F27"/>
      <c r="G27"/>
      <c r="H27"/>
    </row>
    <row r="28" spans="1:21">
      <c r="F28"/>
      <c r="G28"/>
      <c r="H28"/>
    </row>
    <row r="29" spans="1:21">
      <c r="F29"/>
      <c r="G29"/>
      <c r="H29"/>
    </row>
    <row r="30" spans="1:21">
      <c r="F30"/>
      <c r="G30"/>
      <c r="H30"/>
    </row>
    <row r="31" spans="1:21">
      <c r="F31"/>
      <c r="G31"/>
      <c r="H31"/>
    </row>
    <row r="32" spans="1:21">
      <c r="A32" s="15"/>
      <c r="B32" s="15"/>
      <c r="C32" s="15"/>
      <c r="D32" s="15"/>
      <c r="E32" s="15"/>
      <c r="F32" s="15"/>
      <c r="G32" s="15"/>
      <c r="H32" s="17"/>
      <c r="I32" s="13"/>
      <c r="J32" s="3"/>
      <c r="K32" s="3"/>
    </row>
    <row r="35" spans="12:29">
      <c r="L35" s="17"/>
      <c r="M35" s="13"/>
      <c r="N35" s="18"/>
      <c r="O35" s="3"/>
      <c r="P35" s="16"/>
      <c r="Q35" s="15"/>
      <c r="R35" s="15"/>
      <c r="S35" s="15"/>
      <c r="T35" s="15"/>
      <c r="U35" s="15"/>
      <c r="V35" s="15"/>
      <c r="W35" s="15"/>
      <c r="X35" s="15"/>
      <c r="Y35" s="15"/>
      <c r="Z35" s="17"/>
      <c r="AA35" s="13"/>
      <c r="AB35" s="3"/>
      <c r="AC35" s="3"/>
    </row>
    <row r="36" spans="12:29">
      <c r="L36" s="17"/>
    </row>
    <row r="37" spans="12:29">
      <c r="L37" s="17"/>
    </row>
    <row r="38" spans="12:29">
      <c r="L38" s="17"/>
    </row>
    <row r="39" spans="12:29">
      <c r="L39" s="17"/>
    </row>
    <row r="40" spans="12:29">
      <c r="L40" s="17"/>
    </row>
    <row r="41" spans="12:29">
      <c r="L41" s="17"/>
    </row>
  </sheetData>
  <mergeCells count="2">
    <mergeCell ref="F1:H1"/>
    <mergeCell ref="O1:T1"/>
  </mergeCells>
  <pageMargins left="0.7" right="0.7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workbookViewId="0">
      <selection activeCell="M29" sqref="M29"/>
    </sheetView>
  </sheetViews>
  <sheetFormatPr defaultRowHeight="15"/>
  <cols>
    <col min="2" max="2" width="16.140625" bestFit="1" customWidth="1"/>
    <col min="3" max="3" width="11.5703125" bestFit="1" customWidth="1"/>
    <col min="4" max="4" width="11" bestFit="1" customWidth="1"/>
    <col min="5" max="5" width="10.5703125" bestFit="1" customWidth="1"/>
    <col min="6" max="8" width="6" bestFit="1" customWidth="1"/>
    <col min="9" max="9" width="15.85546875" bestFit="1" customWidth="1"/>
    <col min="10" max="10" width="12" bestFit="1" customWidth="1"/>
    <col min="11" max="11" width="13.7109375" bestFit="1" customWidth="1"/>
    <col min="12" max="12" width="17.5703125" style="7" bestFit="1" customWidth="1"/>
    <col min="13" max="13" width="12" style="7" bestFit="1" customWidth="1"/>
    <col min="18" max="18" width="16.140625" bestFit="1" customWidth="1"/>
    <col min="19" max="19" width="17.5703125" bestFit="1" customWidth="1"/>
  </cols>
  <sheetData>
    <row r="1" spans="1:19">
      <c r="A1" s="9" t="s">
        <v>30</v>
      </c>
      <c r="B1" s="9"/>
      <c r="C1" s="9"/>
      <c r="D1" s="9"/>
    </row>
    <row r="2" spans="1:19">
      <c r="F2" s="27" t="s">
        <v>18</v>
      </c>
      <c r="G2" s="27"/>
      <c r="H2" s="27"/>
    </row>
    <row r="3" spans="1:19" ht="18.75">
      <c r="A3" s="4"/>
      <c r="B3" s="7" t="s">
        <v>7</v>
      </c>
      <c r="C3" s="2" t="s">
        <v>6</v>
      </c>
      <c r="D3" s="4" t="s">
        <v>3</v>
      </c>
      <c r="E3" s="4" t="s">
        <v>4</v>
      </c>
      <c r="F3" s="7" t="s">
        <v>0</v>
      </c>
      <c r="G3" s="7" t="s">
        <v>1</v>
      </c>
      <c r="H3" s="7" t="s">
        <v>16</v>
      </c>
      <c r="I3" s="7" t="s">
        <v>2</v>
      </c>
      <c r="J3" s="7" t="s">
        <v>8</v>
      </c>
      <c r="K3" s="7" t="s">
        <v>9</v>
      </c>
      <c r="L3" s="13" t="s">
        <v>22</v>
      </c>
      <c r="M3" s="13" t="s">
        <v>23</v>
      </c>
      <c r="N3" s="28"/>
      <c r="O3" s="28"/>
      <c r="P3" s="28"/>
      <c r="Q3" s="28"/>
      <c r="R3" s="28"/>
      <c r="S3" s="28"/>
    </row>
    <row r="4" spans="1:19">
      <c r="A4" s="4" t="s">
        <v>10</v>
      </c>
      <c r="B4" s="4" t="s">
        <v>5</v>
      </c>
      <c r="C4" s="4">
        <v>0.15</v>
      </c>
      <c r="D4" s="13">
        <v>131.85</v>
      </c>
      <c r="E4" s="13">
        <f>D4/2</f>
        <v>65.924999999999997</v>
      </c>
      <c r="F4" s="4">
        <v>11.86</v>
      </c>
      <c r="G4" s="4">
        <v>11.52</v>
      </c>
      <c r="H4" s="4">
        <v>12.68</v>
      </c>
      <c r="I4" s="4">
        <f>(H4+G4+F4)/3</f>
        <v>12.020000000000001</v>
      </c>
      <c r="J4" s="4">
        <f t="shared" ref="J4:J7" si="0">(I4*E4)/(3*0.018*C4)/10000000</f>
        <v>9.7829444444444483E-3</v>
      </c>
      <c r="K4" s="4" t="s">
        <v>5</v>
      </c>
      <c r="N4" s="4"/>
      <c r="O4" s="4"/>
      <c r="P4" s="4"/>
      <c r="Q4" s="4"/>
      <c r="R4" s="4"/>
      <c r="S4" s="3"/>
    </row>
    <row r="5" spans="1:19">
      <c r="A5" s="5" t="s">
        <v>31</v>
      </c>
      <c r="B5" s="4">
        <v>2000</v>
      </c>
      <c r="C5" s="4">
        <v>0.15</v>
      </c>
      <c r="D5" s="4">
        <v>99.44</v>
      </c>
      <c r="E5" s="4">
        <f t="shared" ref="E5:E19" si="1">D5/2</f>
        <v>49.72</v>
      </c>
      <c r="F5" s="4">
        <v>53.19</v>
      </c>
      <c r="G5" s="4">
        <v>57.63</v>
      </c>
      <c r="H5" s="4">
        <v>47.59</v>
      </c>
      <c r="I5" s="4">
        <f>(H5+G5+F5)/3</f>
        <v>52.803333333333335</v>
      </c>
      <c r="J5" s="4">
        <f t="shared" si="0"/>
        <v>3.2412120164609058E-2</v>
      </c>
      <c r="K5" s="8">
        <f>(J5-J4)*(B5/2+2)*76.56/100</f>
        <v>17.359546725220742</v>
      </c>
      <c r="L5" s="4">
        <f>AVERAGE(K5:K7)</f>
        <v>17.866605084750621</v>
      </c>
      <c r="M5" s="4">
        <f>STDEVA(K5:K7)</f>
        <v>2.6407097598822595</v>
      </c>
      <c r="N5" s="3"/>
      <c r="O5" s="3"/>
      <c r="P5" s="3"/>
      <c r="Q5" s="6"/>
      <c r="R5" s="3"/>
      <c r="S5" s="3"/>
    </row>
    <row r="6" spans="1:19">
      <c r="A6" s="5" t="s">
        <v>31</v>
      </c>
      <c r="B6" s="4">
        <v>2000</v>
      </c>
      <c r="C6" s="4">
        <v>0.15</v>
      </c>
      <c r="D6" s="4">
        <v>100.24</v>
      </c>
      <c r="E6" s="4">
        <f t="shared" si="1"/>
        <v>50.12</v>
      </c>
      <c r="F6" s="4">
        <v>58.03</v>
      </c>
      <c r="G6" s="4">
        <v>60.69</v>
      </c>
      <c r="H6" s="4">
        <v>59.69</v>
      </c>
      <c r="I6" s="4">
        <f t="shared" ref="I6:I13" si="2">(H6+G6+F6)/3</f>
        <v>59.47</v>
      </c>
      <c r="J6" s="4">
        <f t="shared" si="0"/>
        <v>3.6797980246913588E-2</v>
      </c>
      <c r="K6" s="8">
        <f>(J6-J4)*(B6/2+2)*76.56/100</f>
        <v>20.724076833191116</v>
      </c>
      <c r="M6" s="4"/>
    </row>
    <row r="7" spans="1:19">
      <c r="A7" s="5" t="s">
        <v>31</v>
      </c>
      <c r="B7" s="4">
        <v>2000</v>
      </c>
      <c r="C7" s="4">
        <v>0.15</v>
      </c>
      <c r="D7" s="4">
        <v>115.42</v>
      </c>
      <c r="E7" s="4">
        <f t="shared" si="1"/>
        <v>57.71</v>
      </c>
      <c r="F7" s="4">
        <v>43.4</v>
      </c>
      <c r="G7" s="4">
        <v>41.58</v>
      </c>
      <c r="H7" s="4">
        <v>41.38</v>
      </c>
      <c r="I7" s="4">
        <f t="shared" si="2"/>
        <v>42.120000000000005</v>
      </c>
      <c r="J7" s="4">
        <f t="shared" si="0"/>
        <v>3.000920000000001E-2</v>
      </c>
      <c r="K7" s="8">
        <f>(J7-J4)*(B7/2+2)*76.56/100</f>
        <v>15.516191695840005</v>
      </c>
      <c r="M7" s="4"/>
    </row>
    <row r="8" spans="1:19">
      <c r="A8" s="5"/>
      <c r="B8" s="13"/>
      <c r="C8" s="13"/>
      <c r="D8" s="13"/>
      <c r="E8" s="13"/>
      <c r="F8" s="13"/>
      <c r="G8" s="13"/>
      <c r="H8" s="13"/>
      <c r="I8" s="13"/>
      <c r="J8" s="13"/>
      <c r="K8" s="8"/>
      <c r="M8" s="13"/>
    </row>
    <row r="9" spans="1:19">
      <c r="A9" s="5" t="s">
        <v>31</v>
      </c>
      <c r="B9" s="4">
        <v>4000</v>
      </c>
      <c r="C9" s="4">
        <v>0.15</v>
      </c>
      <c r="D9" s="4">
        <v>110.59</v>
      </c>
      <c r="E9" s="4">
        <f t="shared" si="1"/>
        <v>55.295000000000002</v>
      </c>
      <c r="F9" s="4">
        <v>47.21</v>
      </c>
      <c r="G9" s="4">
        <v>40.479999999999997</v>
      </c>
      <c r="H9" s="4">
        <v>39.32</v>
      </c>
      <c r="I9" s="4">
        <f t="shared" si="2"/>
        <v>42.336666666666666</v>
      </c>
      <c r="J9" s="4">
        <f>(I9*E9)/(3*0.018*C9)/10000000</f>
        <v>2.8901308436214E-2</v>
      </c>
      <c r="K9" s="8">
        <f>(J9-J4)*(B9/2+2)*76.56/100</f>
        <v>29.303312983141737</v>
      </c>
      <c r="L9" s="4">
        <f>AVERAGE(K9:K11)</f>
        <v>31.60246402794964</v>
      </c>
      <c r="M9" s="4">
        <f>STDEVA(K9:K11)</f>
        <v>2.114517396728802</v>
      </c>
    </row>
    <row r="10" spans="1:19">
      <c r="A10" s="5" t="s">
        <v>31</v>
      </c>
      <c r="B10" s="4">
        <v>4000</v>
      </c>
      <c r="C10" s="4">
        <v>0.15</v>
      </c>
      <c r="D10" s="4">
        <v>104.15</v>
      </c>
      <c r="E10" s="4">
        <f t="shared" si="1"/>
        <v>52.075000000000003</v>
      </c>
      <c r="F10" s="4">
        <v>49.06</v>
      </c>
      <c r="G10" s="4">
        <v>49.1</v>
      </c>
      <c r="H10" s="4">
        <v>49.37</v>
      </c>
      <c r="I10" s="4">
        <f t="shared" si="2"/>
        <v>49.176666666666669</v>
      </c>
      <c r="J10" s="4">
        <f t="shared" ref="J10:J18" si="3">(I10*E10)/(3*0.018*C10)/10000000</f>
        <v>3.1615739711934168E-2</v>
      </c>
      <c r="K10" s="8">
        <f>(J10-J4)*(B10/2+2)*76.56/100</f>
        <v>33.463806489693845</v>
      </c>
      <c r="M10" s="4"/>
    </row>
    <row r="11" spans="1:19">
      <c r="A11" s="5" t="s">
        <v>31</v>
      </c>
      <c r="B11" s="4">
        <v>4000</v>
      </c>
      <c r="C11" s="4">
        <v>0.15</v>
      </c>
      <c r="D11" s="4">
        <v>105.57</v>
      </c>
      <c r="E11" s="4">
        <f t="shared" si="1"/>
        <v>52.784999999999997</v>
      </c>
      <c r="F11" s="4">
        <v>46.99</v>
      </c>
      <c r="G11" s="4">
        <v>43.7</v>
      </c>
      <c r="H11" s="4">
        <v>50.58</v>
      </c>
      <c r="I11" s="4">
        <f t="shared" si="2"/>
        <v>47.09</v>
      </c>
      <c r="J11" s="4">
        <f t="shared" si="3"/>
        <v>3.0686983333333345E-2</v>
      </c>
      <c r="K11" s="8">
        <f>(J11-J4)*(B11/2+2)*76.56/100</f>
        <v>32.04027261101335</v>
      </c>
      <c r="M11" s="4"/>
    </row>
    <row r="12" spans="1:19" s="3" customFormat="1">
      <c r="A12" s="5"/>
      <c r="B12" s="13"/>
      <c r="C12" s="13"/>
      <c r="D12" s="13"/>
      <c r="E12" s="13"/>
      <c r="F12" s="13"/>
      <c r="G12" s="13"/>
      <c r="H12" s="13"/>
      <c r="I12" s="13"/>
      <c r="J12" s="13"/>
      <c r="K12" s="8"/>
      <c r="L12" s="13"/>
      <c r="M12" s="13"/>
    </row>
    <row r="13" spans="1:19">
      <c r="A13" s="5" t="s">
        <v>31</v>
      </c>
      <c r="B13" s="4">
        <v>8000</v>
      </c>
      <c r="C13" s="4">
        <v>0.15</v>
      </c>
      <c r="D13" s="4">
        <v>109.4</v>
      </c>
      <c r="E13" s="4">
        <f t="shared" si="1"/>
        <v>54.7</v>
      </c>
      <c r="F13" s="4">
        <v>40.94</v>
      </c>
      <c r="G13" s="4">
        <v>38.79</v>
      </c>
      <c r="H13" s="4">
        <v>36.18</v>
      </c>
      <c r="I13" s="4">
        <f t="shared" si="2"/>
        <v>38.636666666666663</v>
      </c>
      <c r="J13" s="4">
        <f t="shared" si="3"/>
        <v>2.6091674897119346E-2</v>
      </c>
      <c r="K13" s="8">
        <f>(J13-J4)*(B13/2+2)*76.56/100</f>
        <v>49.968828066340748</v>
      </c>
      <c r="L13" s="4">
        <f>AVERAGE(K13:K15)</f>
        <v>49.495838835921994</v>
      </c>
      <c r="M13" s="4">
        <f>STDEVA(K13:K15)</f>
        <v>0.91723453628079443</v>
      </c>
    </row>
    <row r="14" spans="1:19">
      <c r="A14" s="5" t="s">
        <v>31</v>
      </c>
      <c r="B14" s="4">
        <v>8000</v>
      </c>
      <c r="C14" s="4">
        <v>0.15</v>
      </c>
      <c r="D14" s="4">
        <v>112.58</v>
      </c>
      <c r="E14" s="4">
        <f t="shared" si="1"/>
        <v>56.29</v>
      </c>
      <c r="F14" s="4">
        <v>37.700000000000003</v>
      </c>
      <c r="G14" s="4">
        <v>36.090000000000003</v>
      </c>
      <c r="H14" s="4">
        <v>36.69</v>
      </c>
      <c r="I14" s="4">
        <f t="shared" ref="I14:I19" si="4">(H14+G14+F14)/3</f>
        <v>36.826666666666668</v>
      </c>
      <c r="J14" s="4">
        <f t="shared" si="3"/>
        <v>2.5592260082304537E-2</v>
      </c>
      <c r="K14" s="8">
        <f>(J14-J4)*(B14/2+2)*76.56/100</f>
        <v>48.438655433487426</v>
      </c>
      <c r="M14" s="4"/>
    </row>
    <row r="15" spans="1:19">
      <c r="A15" s="5" t="s">
        <v>31</v>
      </c>
      <c r="B15" s="4">
        <v>8000</v>
      </c>
      <c r="C15" s="4">
        <v>0.15</v>
      </c>
      <c r="D15" s="4">
        <v>115.87</v>
      </c>
      <c r="E15" s="4">
        <f t="shared" si="1"/>
        <v>57.935000000000002</v>
      </c>
      <c r="F15" s="4">
        <v>35.229999999999997</v>
      </c>
      <c r="G15" s="4">
        <v>36.4</v>
      </c>
      <c r="H15" s="4">
        <v>37.96</v>
      </c>
      <c r="I15" s="4">
        <f t="shared" si="4"/>
        <v>36.53</v>
      </c>
      <c r="J15" s="4">
        <f t="shared" si="3"/>
        <v>2.6127969753086427E-2</v>
      </c>
      <c r="K15" s="8">
        <f>(J15-J4)*(B15/2+2)*76.56/100</f>
        <v>50.0800330079378</v>
      </c>
      <c r="M15" s="4"/>
    </row>
    <row r="16" spans="1:19" s="3" customFormat="1">
      <c r="A16" s="5"/>
      <c r="B16" s="13"/>
      <c r="C16" s="13"/>
      <c r="D16" s="13"/>
      <c r="E16" s="13"/>
      <c r="F16" s="13"/>
      <c r="G16" s="13"/>
      <c r="H16" s="13"/>
      <c r="I16" s="13"/>
      <c r="J16" s="13"/>
      <c r="K16" s="8"/>
      <c r="L16" s="13"/>
      <c r="M16" s="13"/>
    </row>
    <row r="17" spans="1:20">
      <c r="A17" s="5" t="s">
        <v>31</v>
      </c>
      <c r="B17" s="4">
        <v>10000</v>
      </c>
      <c r="C17" s="4">
        <v>0.15</v>
      </c>
      <c r="D17" s="4">
        <v>114.07</v>
      </c>
      <c r="E17" s="4">
        <f t="shared" si="1"/>
        <v>57.034999999999997</v>
      </c>
      <c r="F17" s="4">
        <v>28.62</v>
      </c>
      <c r="G17" s="4">
        <v>26.96</v>
      </c>
      <c r="H17" s="4">
        <v>29.19</v>
      </c>
      <c r="I17" s="4">
        <f t="shared" si="4"/>
        <v>28.256666666666671</v>
      </c>
      <c r="J17" s="4">
        <f t="shared" si="3"/>
        <v>1.9896530658436221E-2</v>
      </c>
      <c r="K17" s="8">
        <f>(J17-J4)*(B17/2+2)*76.56/100</f>
        <v>38.730293950371369</v>
      </c>
      <c r="L17" s="4">
        <f>AVERAGE(K17:K19)</f>
        <v>40.339563820692355</v>
      </c>
      <c r="M17" s="4">
        <f>STDEVA(K17:K19)</f>
        <v>3.2562570665322803</v>
      </c>
    </row>
    <row r="18" spans="1:20">
      <c r="A18" s="5" t="s">
        <v>31</v>
      </c>
      <c r="B18" s="4">
        <v>10000</v>
      </c>
      <c r="C18" s="4">
        <v>0.15</v>
      </c>
      <c r="D18" s="4">
        <v>112.9</v>
      </c>
      <c r="E18" s="4">
        <f>D18/2</f>
        <v>56.45</v>
      </c>
      <c r="F18" s="3">
        <v>30.12</v>
      </c>
      <c r="G18" s="4">
        <v>32.86</v>
      </c>
      <c r="H18" s="4">
        <v>28.69</v>
      </c>
      <c r="I18" s="4">
        <f t="shared" si="4"/>
        <v>30.556666666666668</v>
      </c>
      <c r="J18" s="4">
        <f t="shared" si="3"/>
        <v>2.1295355967078197E-2</v>
      </c>
      <c r="K18" s="8">
        <f>(J18-J4)*(B18/2+2)*76.56/100</f>
        <v>44.087139113165449</v>
      </c>
    </row>
    <row r="19" spans="1:20">
      <c r="A19" s="5" t="s">
        <v>31</v>
      </c>
      <c r="B19" s="4">
        <v>10000</v>
      </c>
      <c r="C19" s="4">
        <v>0.15</v>
      </c>
      <c r="D19" s="4">
        <v>111.58</v>
      </c>
      <c r="E19" s="4">
        <f t="shared" si="1"/>
        <v>55.79</v>
      </c>
      <c r="F19" s="4">
        <v>26.35</v>
      </c>
      <c r="G19" s="4">
        <v>29.72</v>
      </c>
      <c r="H19" s="4">
        <v>29.99</v>
      </c>
      <c r="I19" s="4">
        <f t="shared" si="4"/>
        <v>28.686666666666667</v>
      </c>
      <c r="J19" s="4">
        <f t="shared" ref="J19" si="5">(I19*E19)/(3*0.018*C19)/10000000</f>
        <v>1.9758384362139923E-2</v>
      </c>
      <c r="K19" s="8">
        <f>(J19-J4)*(B19/2+2)*76.56/100</f>
        <v>38.201258398540247</v>
      </c>
    </row>
    <row r="20" spans="1:20">
      <c r="A20" s="5"/>
      <c r="B20" s="4"/>
      <c r="C20" s="4"/>
      <c r="D20" s="4"/>
      <c r="E20" s="4"/>
      <c r="F20" s="4"/>
      <c r="G20" s="4"/>
      <c r="H20" s="4"/>
      <c r="I20" s="4"/>
      <c r="J20" s="4"/>
      <c r="K20" s="8"/>
      <c r="L20" s="4"/>
      <c r="M20" s="4"/>
    </row>
    <row r="21" spans="1:20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R21" s="4"/>
      <c r="S21" s="4"/>
      <c r="T21" s="4"/>
    </row>
    <row r="22" spans="1:20">
      <c r="A22" s="5" t="s">
        <v>19</v>
      </c>
      <c r="B22" s="4">
        <v>6000</v>
      </c>
      <c r="C22" s="4">
        <v>0.15</v>
      </c>
      <c r="D22" s="4">
        <v>95.085000000000008</v>
      </c>
      <c r="E22" s="4">
        <v>47.542500000000004</v>
      </c>
      <c r="F22" s="4">
        <v>64.680000000000007</v>
      </c>
      <c r="G22" s="4">
        <v>56.61</v>
      </c>
      <c r="H22" s="4">
        <v>62.8</v>
      </c>
      <c r="I22" s="4">
        <f t="shared" ref="I22:I24" si="6">(H22+G22+F22)/3</f>
        <v>61.363333333333337</v>
      </c>
      <c r="J22" s="4">
        <f>(I22*E22)/(3*0.018*C22)/10000000</f>
        <v>3.6016867592592608E-2</v>
      </c>
      <c r="K22" s="8">
        <f>(J22-J4)*(B22/2+2)*76.56/100</f>
        <v>60.294244069791141</v>
      </c>
      <c r="L22" s="4">
        <f>AVERAGE(K22:K24)</f>
        <v>60.141059349495812</v>
      </c>
      <c r="M22" s="13">
        <f>STDEVA(K22:K24)</f>
        <v>0.16504246703892955</v>
      </c>
      <c r="R22" s="4"/>
      <c r="S22" s="4"/>
      <c r="T22" s="4"/>
    </row>
    <row r="23" spans="1:20">
      <c r="A23" s="5" t="s">
        <v>20</v>
      </c>
      <c r="B23" s="4">
        <v>6000</v>
      </c>
      <c r="C23" s="4">
        <v>0.15</v>
      </c>
      <c r="D23" s="4">
        <v>115.8</v>
      </c>
      <c r="E23" s="4">
        <v>57.9</v>
      </c>
      <c r="F23" s="4">
        <v>46.2</v>
      </c>
      <c r="G23" s="4">
        <v>53.62</v>
      </c>
      <c r="H23" s="4">
        <v>50.74</v>
      </c>
      <c r="I23" s="4">
        <f t="shared" si="6"/>
        <v>50.186666666666667</v>
      </c>
      <c r="J23" s="4">
        <f t="shared" ref="J23:J24" si="7">(I23*E23)/(3*0.018*C23)/10000000</f>
        <v>3.5874172839506183E-2</v>
      </c>
      <c r="K23" s="8">
        <f>(J23-J4)*(B23/2+2)*76.56/100</f>
        <v>59.966284266696313</v>
      </c>
      <c r="R23" s="4"/>
      <c r="S23" s="4"/>
      <c r="T23" s="4"/>
    </row>
    <row r="24" spans="1:20">
      <c r="A24" s="5" t="s">
        <v>21</v>
      </c>
      <c r="B24" s="4">
        <v>6000</v>
      </c>
      <c r="C24" s="4">
        <v>0.15</v>
      </c>
      <c r="D24" s="4">
        <v>108.3</v>
      </c>
      <c r="E24" s="4">
        <v>54.15</v>
      </c>
      <c r="F24" s="4">
        <v>56.91</v>
      </c>
      <c r="G24" s="4">
        <v>52.71</v>
      </c>
      <c r="H24" s="4">
        <v>51.75</v>
      </c>
      <c r="I24" s="4">
        <f t="shared" si="6"/>
        <v>53.79</v>
      </c>
      <c r="J24" s="4">
        <f t="shared" si="7"/>
        <v>3.5959611111111116E-2</v>
      </c>
      <c r="K24" s="8">
        <f>(J24-J4)*(B24/2+2)*76.56/100</f>
        <v>60.162649712000004</v>
      </c>
      <c r="R24" s="4"/>
      <c r="S24" s="4"/>
      <c r="T24" s="4"/>
    </row>
    <row r="25" spans="1:20">
      <c r="I25" s="3"/>
      <c r="J25" s="3"/>
      <c r="R25" s="4"/>
      <c r="S25" s="4"/>
      <c r="T25" s="4"/>
    </row>
    <row r="26" spans="1:20">
      <c r="I26" s="3"/>
      <c r="J26" s="3"/>
      <c r="R26" s="4"/>
      <c r="S26" s="4"/>
      <c r="T26" s="4"/>
    </row>
    <row r="27" spans="1:20">
      <c r="R27" s="4"/>
      <c r="S27" s="4"/>
      <c r="T27" s="4"/>
    </row>
    <row r="28" spans="1:20">
      <c r="R28" s="3"/>
      <c r="S28" s="3"/>
      <c r="T28" s="3"/>
    </row>
    <row r="29" spans="1:20">
      <c r="R29" s="3"/>
      <c r="S29" s="3"/>
      <c r="T29" s="3"/>
    </row>
    <row r="35" spans="1:17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2"/>
      <c r="M35" s="12"/>
      <c r="N35" s="10"/>
      <c r="O35" s="10"/>
      <c r="P35" s="11"/>
      <c r="Q35" s="3"/>
    </row>
    <row r="36" spans="1:17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2"/>
      <c r="M36" s="12"/>
      <c r="N36" s="10"/>
      <c r="O36" s="10"/>
      <c r="P36" s="10"/>
      <c r="Q36" s="3"/>
    </row>
    <row r="37" spans="1:17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2"/>
      <c r="M37" s="12"/>
      <c r="N37" s="10"/>
      <c r="O37" s="10"/>
      <c r="P37" s="10"/>
      <c r="Q37" s="3"/>
    </row>
    <row r="38" spans="1:17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2"/>
      <c r="M38" s="12"/>
      <c r="N38" s="10"/>
      <c r="O38" s="10"/>
      <c r="P38" s="10"/>
      <c r="Q38" s="3"/>
    </row>
    <row r="39" spans="1:17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2"/>
      <c r="M39" s="12"/>
      <c r="N39" s="10"/>
      <c r="O39" s="10"/>
      <c r="P39" s="10"/>
      <c r="Q39" s="3"/>
    </row>
    <row r="40" spans="1:17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2"/>
      <c r="M40" s="12"/>
      <c r="N40" s="10"/>
      <c r="O40" s="10"/>
      <c r="P40" s="10"/>
      <c r="Q40" s="3"/>
    </row>
    <row r="41" spans="1:17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2"/>
      <c r="M41" s="12"/>
      <c r="N41" s="10"/>
      <c r="O41" s="10"/>
      <c r="P41" s="10"/>
      <c r="Q41" s="3"/>
    </row>
    <row r="42" spans="1:17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2"/>
      <c r="M42" s="12"/>
      <c r="N42" s="10"/>
      <c r="O42" s="10"/>
      <c r="P42" s="10"/>
      <c r="Q42" s="3"/>
    </row>
    <row r="43" spans="1:17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2"/>
      <c r="M43" s="12"/>
      <c r="N43" s="10"/>
      <c r="O43" s="10"/>
      <c r="P43" s="10"/>
      <c r="Q43" s="3"/>
    </row>
    <row r="44" spans="1:17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2"/>
      <c r="M44" s="12"/>
      <c r="N44" s="10"/>
      <c r="O44" s="10"/>
      <c r="P44" s="10"/>
      <c r="Q44" s="3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2"/>
      <c r="M45" s="12"/>
      <c r="N45" s="10"/>
      <c r="O45" s="10"/>
      <c r="P45" s="10"/>
      <c r="Q45" s="3"/>
    </row>
  </sheetData>
  <mergeCells count="2">
    <mergeCell ref="F2:H2"/>
    <mergeCell ref="N3:S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L3" sqref="L3:M3"/>
    </sheetView>
  </sheetViews>
  <sheetFormatPr defaultRowHeight="15"/>
  <cols>
    <col min="2" max="2" width="16.140625" bestFit="1" customWidth="1"/>
    <col min="3" max="3" width="11.5703125" bestFit="1" customWidth="1"/>
    <col min="9" max="9" width="15.85546875" bestFit="1" customWidth="1"/>
    <col min="11" max="11" width="13.7109375" bestFit="1" customWidth="1"/>
    <col min="12" max="12" width="17.5703125" style="7" bestFit="1" customWidth="1"/>
    <col min="13" max="13" width="9.140625" style="7"/>
    <col min="18" max="18" width="16.140625" bestFit="1" customWidth="1"/>
    <col min="19" max="19" width="17.5703125" bestFit="1" customWidth="1"/>
  </cols>
  <sheetData>
    <row r="1" spans="1:18">
      <c r="A1" s="9" t="s">
        <v>32</v>
      </c>
      <c r="B1" s="9"/>
      <c r="C1" s="9"/>
      <c r="D1" s="9"/>
    </row>
    <row r="2" spans="1:18">
      <c r="F2" s="27" t="s">
        <v>18</v>
      </c>
      <c r="G2" s="27"/>
      <c r="H2" s="27"/>
    </row>
    <row r="3" spans="1:18" ht="18.75">
      <c r="A3" s="4"/>
      <c r="B3" s="7" t="s">
        <v>7</v>
      </c>
      <c r="C3" s="2" t="s">
        <v>6</v>
      </c>
      <c r="D3" s="4" t="s">
        <v>3</v>
      </c>
      <c r="E3" s="4" t="s">
        <v>4</v>
      </c>
      <c r="F3" s="7" t="s">
        <v>0</v>
      </c>
      <c r="G3" s="7" t="s">
        <v>1</v>
      </c>
      <c r="H3" s="7" t="s">
        <v>16</v>
      </c>
      <c r="I3" s="7" t="s">
        <v>2</v>
      </c>
      <c r="J3" s="7" t="s">
        <v>8</v>
      </c>
      <c r="K3" s="7" t="s">
        <v>9</v>
      </c>
      <c r="L3" s="13" t="s">
        <v>22</v>
      </c>
      <c r="M3" s="13" t="s">
        <v>24</v>
      </c>
      <c r="N3" s="7"/>
      <c r="O3" s="7"/>
      <c r="P3" s="7"/>
      <c r="Q3" s="7"/>
      <c r="R3" s="7"/>
    </row>
    <row r="4" spans="1:18">
      <c r="A4" s="13" t="s">
        <v>10</v>
      </c>
      <c r="B4" s="13" t="s">
        <v>5</v>
      </c>
      <c r="C4" s="13">
        <v>0.15</v>
      </c>
      <c r="D4" s="13">
        <v>131.85</v>
      </c>
      <c r="E4" s="13">
        <f>D4/2</f>
        <v>65.924999999999997</v>
      </c>
      <c r="F4" s="13">
        <v>11.86</v>
      </c>
      <c r="G4" s="13">
        <v>11.52</v>
      </c>
      <c r="H4" s="13">
        <v>12.68</v>
      </c>
      <c r="I4" s="13">
        <f>(H4+G4+F4)/3</f>
        <v>12.020000000000001</v>
      </c>
      <c r="J4" s="13">
        <f t="shared" ref="J4" si="0">(I4*E4)/(3*0.018*C4)/10000000</f>
        <v>9.7829444444444483E-3</v>
      </c>
      <c r="K4" s="13" t="s">
        <v>5</v>
      </c>
      <c r="L4" s="13"/>
      <c r="O4" s="3"/>
      <c r="P4" s="3"/>
      <c r="Q4" s="6"/>
    </row>
    <row r="5" spans="1:18">
      <c r="A5" s="5"/>
      <c r="B5" s="4"/>
      <c r="C5" s="4"/>
      <c r="D5" s="4"/>
      <c r="E5" s="4"/>
      <c r="F5" s="4"/>
      <c r="G5" s="4"/>
      <c r="H5" s="4"/>
      <c r="I5" s="4"/>
      <c r="J5" s="4"/>
      <c r="K5" s="8"/>
      <c r="L5" s="4"/>
      <c r="M5" s="4"/>
    </row>
    <row r="6" spans="1:18">
      <c r="A6" s="5" t="s">
        <v>31</v>
      </c>
      <c r="B6" s="4">
        <f>4000*1.57</f>
        <v>6280</v>
      </c>
      <c r="C6" s="4">
        <v>0.15</v>
      </c>
      <c r="D6" s="4">
        <v>110.59</v>
      </c>
      <c r="E6" s="4">
        <f t="shared" ref="E6:E16" si="1">D6/2</f>
        <v>55.295000000000002</v>
      </c>
      <c r="F6" s="4">
        <v>47.21</v>
      </c>
      <c r="G6" s="4">
        <v>40.479999999999997</v>
      </c>
      <c r="H6" s="4">
        <v>39.32</v>
      </c>
      <c r="I6" s="4">
        <f t="shared" ref="I6:I16" si="2">(H6+G6+F6)/3</f>
        <v>42.336666666666666</v>
      </c>
      <c r="J6" s="4">
        <f>(I6*E6)/(3*0.018*C6)/10000000</f>
        <v>2.8901308436214E-2</v>
      </c>
      <c r="K6" s="8">
        <f>(J6-J4)*(B6/2+2)*76.56/100</f>
        <v>45.989515181334333</v>
      </c>
      <c r="L6" s="4">
        <f>AVERAGE(K6:K8)</f>
        <v>49.597873114794083</v>
      </c>
      <c r="M6" s="4">
        <f>STDEVA(K6:K8)</f>
        <v>3.3185882420189241</v>
      </c>
      <c r="O6" s="4"/>
    </row>
    <row r="7" spans="1:18">
      <c r="A7" s="5" t="s">
        <v>31</v>
      </c>
      <c r="B7" s="4">
        <f>4000*1.57</f>
        <v>6280</v>
      </c>
      <c r="C7" s="4">
        <v>0.15</v>
      </c>
      <c r="D7" s="4">
        <v>104.15</v>
      </c>
      <c r="E7" s="4">
        <f t="shared" si="1"/>
        <v>52.075000000000003</v>
      </c>
      <c r="F7" s="4">
        <v>49.06</v>
      </c>
      <c r="G7" s="4">
        <v>49.1</v>
      </c>
      <c r="H7" s="4">
        <v>49.37</v>
      </c>
      <c r="I7" s="4">
        <f t="shared" si="2"/>
        <v>49.176666666666669</v>
      </c>
      <c r="J7" s="4">
        <f t="shared" ref="J7:J16" si="3">(I7*E7)/(3*0.018*C7)/10000000</f>
        <v>3.1615739711934168E-2</v>
      </c>
      <c r="K7" s="8">
        <f>(J7-J4)*(B7/2+2)*76.56/100</f>
        <v>52.519120874434584</v>
      </c>
      <c r="M7" s="4"/>
      <c r="O7" s="4"/>
      <c r="P7" s="4"/>
      <c r="Q7" s="4"/>
    </row>
    <row r="8" spans="1:18">
      <c r="A8" s="5" t="s">
        <v>31</v>
      </c>
      <c r="B8" s="4">
        <f>4000*1.57</f>
        <v>6280</v>
      </c>
      <c r="C8" s="4">
        <v>0.15</v>
      </c>
      <c r="D8" s="4">
        <v>105.57</v>
      </c>
      <c r="E8" s="4">
        <f t="shared" si="1"/>
        <v>52.784999999999997</v>
      </c>
      <c r="F8" s="4">
        <v>46.99</v>
      </c>
      <c r="G8" s="4">
        <v>43.7</v>
      </c>
      <c r="H8" s="4">
        <v>50.58</v>
      </c>
      <c r="I8" s="4">
        <f t="shared" si="2"/>
        <v>47.09</v>
      </c>
      <c r="J8" s="4">
        <f t="shared" si="3"/>
        <v>3.0686983333333345E-2</v>
      </c>
      <c r="K8" s="8">
        <f>(J8-J4)*(B8/2+2)*76.56/100</f>
        <v>50.284983288613347</v>
      </c>
      <c r="M8" s="4"/>
      <c r="O8" s="4"/>
      <c r="P8" s="4"/>
      <c r="Q8" s="4"/>
    </row>
    <row r="9" spans="1:18" s="3" customFormat="1">
      <c r="A9" s="5"/>
      <c r="B9" s="13"/>
      <c r="C9" s="13"/>
      <c r="D9" s="13"/>
      <c r="E9" s="13"/>
      <c r="F9" s="13"/>
      <c r="G9" s="13"/>
      <c r="H9" s="13"/>
      <c r="I9" s="13"/>
      <c r="J9" s="13"/>
      <c r="K9" s="8"/>
      <c r="L9" s="13"/>
      <c r="M9" s="13"/>
      <c r="O9" s="13"/>
      <c r="P9" s="13"/>
      <c r="Q9" s="13"/>
    </row>
    <row r="10" spans="1:18">
      <c r="A10" s="5" t="s">
        <v>31</v>
      </c>
      <c r="B10" s="4">
        <f>8000*1.11</f>
        <v>8880</v>
      </c>
      <c r="C10" s="4">
        <v>0.15</v>
      </c>
      <c r="D10" s="4">
        <v>109.4</v>
      </c>
      <c r="E10" s="4">
        <f t="shared" si="1"/>
        <v>54.7</v>
      </c>
      <c r="F10" s="4">
        <v>40.94</v>
      </c>
      <c r="G10" s="4">
        <v>38.79</v>
      </c>
      <c r="H10" s="4">
        <v>36.18</v>
      </c>
      <c r="I10" s="4">
        <f t="shared" si="2"/>
        <v>38.636666666666663</v>
      </c>
      <c r="J10" s="4">
        <f t="shared" si="3"/>
        <v>2.6091674897119346E-2</v>
      </c>
      <c r="K10" s="8">
        <f>(J10-J4)*(B10/2+2)*76.56/100</f>
        <v>55.462652241550622</v>
      </c>
      <c r="L10" s="4">
        <f>AVERAGE(K10:K12)</f>
        <v>54.93766019719277</v>
      </c>
      <c r="M10" s="4">
        <f>STDEVA(K10:K12)</f>
        <v>1.0180799125835256</v>
      </c>
      <c r="O10" s="4"/>
      <c r="P10" s="4"/>
      <c r="Q10" s="4"/>
    </row>
    <row r="11" spans="1:18">
      <c r="A11" s="5" t="s">
        <v>31</v>
      </c>
      <c r="B11" s="4">
        <f>8000*1.11</f>
        <v>8880</v>
      </c>
      <c r="C11" s="4">
        <v>0.15</v>
      </c>
      <c r="D11" s="4">
        <v>112.58</v>
      </c>
      <c r="E11" s="4">
        <f t="shared" si="1"/>
        <v>56.29</v>
      </c>
      <c r="F11" s="4">
        <v>37.700000000000003</v>
      </c>
      <c r="G11" s="4">
        <v>36.090000000000003</v>
      </c>
      <c r="H11" s="4">
        <v>36.69</v>
      </c>
      <c r="I11" s="4">
        <f t="shared" si="2"/>
        <v>36.826666666666668</v>
      </c>
      <c r="J11" s="4">
        <f t="shared" si="3"/>
        <v>2.5592260082304537E-2</v>
      </c>
      <c r="K11" s="8">
        <f>(J11-J4)*(B11/2+2)*76.56/100</f>
        <v>53.76424473651953</v>
      </c>
      <c r="M11" s="4"/>
      <c r="O11" s="4"/>
    </row>
    <row r="12" spans="1:18">
      <c r="A12" s="5" t="s">
        <v>31</v>
      </c>
      <c r="B12" s="4">
        <f>8000*1.11</f>
        <v>8880</v>
      </c>
      <c r="C12" s="4">
        <v>0.15</v>
      </c>
      <c r="D12" s="4">
        <v>115.87</v>
      </c>
      <c r="E12" s="4">
        <f t="shared" si="1"/>
        <v>57.935000000000002</v>
      </c>
      <c r="F12" s="4">
        <v>35.229999999999997</v>
      </c>
      <c r="G12" s="4">
        <v>36.4</v>
      </c>
      <c r="H12" s="4">
        <v>37.96</v>
      </c>
      <c r="I12" s="4">
        <f t="shared" si="2"/>
        <v>36.53</v>
      </c>
      <c r="J12" s="4">
        <f t="shared" si="3"/>
        <v>2.6127969753086427E-2</v>
      </c>
      <c r="K12" s="8">
        <f>(J12-J4)*(B12/2+2)*76.56/100</f>
        <v>55.586083613508166</v>
      </c>
      <c r="M12" s="4"/>
      <c r="O12" s="4"/>
    </row>
    <row r="13" spans="1:18" s="3" customFormat="1">
      <c r="A13" s="5"/>
      <c r="B13" s="13"/>
      <c r="C13" s="13"/>
      <c r="D13" s="13"/>
      <c r="E13" s="13"/>
      <c r="F13" s="13"/>
      <c r="G13" s="13"/>
      <c r="H13" s="13"/>
      <c r="I13" s="13"/>
      <c r="J13" s="13"/>
      <c r="K13" s="8"/>
      <c r="L13" s="13"/>
      <c r="M13" s="13"/>
      <c r="O13" s="13"/>
    </row>
    <row r="14" spans="1:18">
      <c r="A14" s="5" t="s">
        <v>31</v>
      </c>
      <c r="B14" s="4">
        <f>10000*1.06</f>
        <v>10600</v>
      </c>
      <c r="C14" s="4">
        <v>0.15</v>
      </c>
      <c r="D14" s="4">
        <v>114.07</v>
      </c>
      <c r="E14" s="4">
        <f t="shared" si="1"/>
        <v>57.034999999999997</v>
      </c>
      <c r="F14" s="4">
        <v>28.62</v>
      </c>
      <c r="G14" s="4">
        <v>26.96</v>
      </c>
      <c r="H14" s="4">
        <v>29.19</v>
      </c>
      <c r="I14" s="4">
        <f t="shared" si="2"/>
        <v>28.256666666666671</v>
      </c>
      <c r="J14" s="4">
        <f t="shared" si="3"/>
        <v>1.9896530658436221E-2</v>
      </c>
      <c r="K14" s="8">
        <f>(J14-J4)*(B14/2+2)*76.56/100</f>
        <v>41.053182432001002</v>
      </c>
      <c r="L14" s="4">
        <f>AVERAGE(K14:K16)</f>
        <v>42.75896988750717</v>
      </c>
      <c r="M14" s="4">
        <f>STDEVA(K14:K16)</f>
        <v>3.4515543716021857</v>
      </c>
      <c r="O14" s="4"/>
    </row>
    <row r="15" spans="1:18">
      <c r="A15" s="5" t="s">
        <v>31</v>
      </c>
      <c r="B15" s="4">
        <f>10000*1.06</f>
        <v>10600</v>
      </c>
      <c r="C15" s="4">
        <v>0.15</v>
      </c>
      <c r="D15" s="4">
        <v>112.9</v>
      </c>
      <c r="E15" s="4">
        <f>D15/2</f>
        <v>56.45</v>
      </c>
      <c r="F15" s="3">
        <v>30.12</v>
      </c>
      <c r="G15" s="4">
        <v>32.86</v>
      </c>
      <c r="H15" s="4">
        <v>28.69</v>
      </c>
      <c r="I15" s="4">
        <f t="shared" si="2"/>
        <v>30.556666666666668</v>
      </c>
      <c r="J15" s="4">
        <f t="shared" si="3"/>
        <v>2.1295355967078197E-2</v>
      </c>
      <c r="K15" s="8">
        <f>(J15-J4)*(B15/2+2)*76.56/100</f>
        <v>46.731309791683969</v>
      </c>
      <c r="O15" s="4"/>
    </row>
    <row r="16" spans="1:18">
      <c r="A16" s="5" t="s">
        <v>31</v>
      </c>
      <c r="B16" s="4">
        <f>10000*1.06</f>
        <v>10600</v>
      </c>
      <c r="C16" s="4">
        <v>0.15</v>
      </c>
      <c r="D16" s="4">
        <v>111.58</v>
      </c>
      <c r="E16" s="4">
        <f t="shared" si="1"/>
        <v>55.79</v>
      </c>
      <c r="F16" s="4">
        <v>26.35</v>
      </c>
      <c r="G16" s="4">
        <v>29.72</v>
      </c>
      <c r="H16" s="4">
        <v>29.99</v>
      </c>
      <c r="I16" s="4">
        <f t="shared" si="2"/>
        <v>28.686666666666667</v>
      </c>
      <c r="J16" s="4">
        <f t="shared" si="3"/>
        <v>1.9758384362139923E-2</v>
      </c>
      <c r="K16" s="8">
        <f>(J16-J4)*(B16/2+2)*76.56/100</f>
        <v>40.492417438836554</v>
      </c>
      <c r="O16" s="4"/>
    </row>
    <row r="17" spans="1:2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13"/>
      <c r="M17" s="13"/>
      <c r="N17" s="3"/>
    </row>
    <row r="18" spans="1:24">
      <c r="A18" s="5" t="s">
        <v>31</v>
      </c>
      <c r="B18" s="4">
        <f>6000*1.38</f>
        <v>8280</v>
      </c>
      <c r="C18" s="4">
        <v>0.15</v>
      </c>
      <c r="D18" s="4">
        <v>95.085000000000008</v>
      </c>
      <c r="E18" s="4">
        <v>47.542500000000004</v>
      </c>
      <c r="F18" s="4">
        <v>64.680000000000007</v>
      </c>
      <c r="G18" s="4">
        <v>56.61</v>
      </c>
      <c r="H18" s="13">
        <v>62.8</v>
      </c>
      <c r="I18" s="13">
        <f t="shared" ref="I18:I20" si="4">(H18+G18+F18)/3</f>
        <v>61.363333333333337</v>
      </c>
      <c r="J18" s="13">
        <f>(I18*E18)/(3*0.018*C18)/10000000</f>
        <v>3.6016867592592608E-2</v>
      </c>
      <c r="K18" s="8">
        <f>(J18-J4)*(B18/2+2)*76.56/100</f>
        <v>83.190792450724487</v>
      </c>
      <c r="L18" s="13">
        <f>AVERAGE(K18:K20)</f>
        <v>82.979436317658795</v>
      </c>
      <c r="M18" s="13">
        <f>STDEVA(K18:K20)</f>
        <v>0.22771682161067289</v>
      </c>
      <c r="N18" s="3"/>
    </row>
    <row r="19" spans="1:24">
      <c r="A19" s="5" t="s">
        <v>31</v>
      </c>
      <c r="B19" s="4">
        <f>6000*1.38</f>
        <v>8280</v>
      </c>
      <c r="C19" s="4">
        <v>0.15</v>
      </c>
      <c r="D19" s="4">
        <v>115.8</v>
      </c>
      <c r="E19" s="4">
        <v>57.9</v>
      </c>
      <c r="F19" s="4">
        <v>46.2</v>
      </c>
      <c r="G19" s="4">
        <v>53.62</v>
      </c>
      <c r="H19" s="13">
        <v>50.74</v>
      </c>
      <c r="I19" s="13">
        <f t="shared" si="4"/>
        <v>50.186666666666667</v>
      </c>
      <c r="J19" s="13">
        <f t="shared" ref="J19:J20" si="5">(I19*E19)/(3*0.018*C19)/10000000</f>
        <v>3.5874172839506183E-2</v>
      </c>
      <c r="K19" s="8">
        <f>(J19-J4)*(B19/2+2)*76.56/100</f>
        <v>82.73829095025188</v>
      </c>
      <c r="L19" s="13"/>
      <c r="M19" s="13"/>
      <c r="N19" s="3"/>
    </row>
    <row r="20" spans="1:24">
      <c r="A20" s="5" t="s">
        <v>31</v>
      </c>
      <c r="B20" s="4">
        <f>6000*1.38</f>
        <v>8280</v>
      </c>
      <c r="C20" s="4">
        <v>0.15</v>
      </c>
      <c r="D20" s="4">
        <v>108.3</v>
      </c>
      <c r="E20" s="4">
        <v>54.15</v>
      </c>
      <c r="F20" s="4">
        <v>56.91</v>
      </c>
      <c r="G20" s="4">
        <v>52.71</v>
      </c>
      <c r="H20" s="13">
        <v>51.75</v>
      </c>
      <c r="I20" s="13">
        <f t="shared" si="4"/>
        <v>53.79</v>
      </c>
      <c r="J20" s="13">
        <f t="shared" si="5"/>
        <v>3.5959611111111116E-2</v>
      </c>
      <c r="K20" s="8">
        <f>(J20-J4)*(B20/2+2)*76.56/100</f>
        <v>83.009225552000004</v>
      </c>
      <c r="L20" s="13"/>
      <c r="M20" s="13"/>
      <c r="N20" s="3"/>
    </row>
    <row r="21" spans="1:24">
      <c r="H21" s="3"/>
      <c r="I21" s="3"/>
      <c r="J21" s="3"/>
      <c r="K21" s="3"/>
      <c r="L21" s="13"/>
      <c r="M21" s="13"/>
      <c r="N21" s="3"/>
    </row>
    <row r="22" spans="1:24">
      <c r="H22" s="3"/>
      <c r="I22" s="3"/>
      <c r="J22" s="3"/>
      <c r="K22" s="3"/>
      <c r="L22" s="13"/>
      <c r="M22" s="13"/>
      <c r="N22" s="3"/>
    </row>
    <row r="28" spans="1:24">
      <c r="X28">
        <f>27/20</f>
        <v>1.35</v>
      </c>
    </row>
  </sheetData>
  <mergeCells count="1">
    <mergeCell ref="F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opLeftCell="A10" workbookViewId="0">
      <selection activeCell="P14" sqref="P14"/>
    </sheetView>
  </sheetViews>
  <sheetFormatPr defaultRowHeight="15"/>
  <cols>
    <col min="3" max="3" width="11.5703125" bestFit="1" customWidth="1"/>
    <col min="4" max="4" width="11" bestFit="1" customWidth="1"/>
    <col min="5" max="5" width="10.5703125" bestFit="1" customWidth="1"/>
    <col min="6" max="6" width="6" bestFit="1" customWidth="1"/>
    <col min="8" max="8" width="6" bestFit="1" customWidth="1"/>
    <col min="9" max="10" width="12" bestFit="1" customWidth="1"/>
    <col min="11" max="11" width="13.7109375" bestFit="1" customWidth="1"/>
    <col min="12" max="12" width="17.5703125" style="7" bestFit="1" customWidth="1"/>
    <col min="13" max="13" width="9.140625" style="7"/>
  </cols>
  <sheetData>
    <row r="1" spans="1:24">
      <c r="A1" s="9" t="s">
        <v>33</v>
      </c>
      <c r="B1" s="9"/>
      <c r="C1" s="9"/>
      <c r="D1" s="9"/>
    </row>
    <row r="2" spans="1:24" ht="18.75">
      <c r="A2" s="14"/>
      <c r="B2" s="14" t="s">
        <v>7</v>
      </c>
      <c r="C2" s="14" t="s">
        <v>25</v>
      </c>
      <c r="D2" s="14" t="s">
        <v>3</v>
      </c>
      <c r="E2" s="14" t="s">
        <v>4</v>
      </c>
      <c r="F2" s="14" t="s">
        <v>0</v>
      </c>
      <c r="G2" s="14" t="s">
        <v>1</v>
      </c>
      <c r="H2" s="14" t="s">
        <v>16</v>
      </c>
      <c r="I2" s="14" t="s">
        <v>2</v>
      </c>
      <c r="J2" s="14" t="s">
        <v>26</v>
      </c>
      <c r="K2" s="14" t="s">
        <v>27</v>
      </c>
      <c r="L2" s="18" t="s">
        <v>22</v>
      </c>
      <c r="M2" s="18" t="s">
        <v>24</v>
      </c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4" spans="1:24">
      <c r="A4" s="13" t="s">
        <v>10</v>
      </c>
      <c r="B4" s="13" t="s">
        <v>5</v>
      </c>
      <c r="C4" s="18">
        <v>0.15</v>
      </c>
      <c r="D4" s="18">
        <v>131.85</v>
      </c>
      <c r="E4" s="18">
        <f>D4/2</f>
        <v>65.924999999999997</v>
      </c>
      <c r="F4" s="18">
        <v>11.86</v>
      </c>
      <c r="G4" s="18">
        <v>11.52</v>
      </c>
      <c r="H4" s="18">
        <v>12.68</v>
      </c>
      <c r="I4" s="18">
        <f>(H4+G4+F4)/3</f>
        <v>12.020000000000001</v>
      </c>
      <c r="J4" s="18">
        <f t="shared" ref="J4" si="0">(I4*E4)/(3*0.018*C4)/10000000</f>
        <v>9.7829444444444483E-3</v>
      </c>
      <c r="K4" s="18" t="s">
        <v>5</v>
      </c>
      <c r="L4" s="18"/>
      <c r="M4" s="18"/>
      <c r="N4" s="19"/>
    </row>
    <row r="5" spans="1:24">
      <c r="C5" s="3"/>
      <c r="D5" s="3"/>
      <c r="E5" s="3"/>
      <c r="F5" s="3"/>
      <c r="G5" s="3"/>
      <c r="H5" s="3"/>
      <c r="I5" s="3"/>
      <c r="J5" s="3"/>
      <c r="K5" s="3"/>
    </row>
    <row r="6" spans="1:24">
      <c r="A6" s="5" t="s">
        <v>34</v>
      </c>
      <c r="B6" s="13">
        <v>4000</v>
      </c>
      <c r="C6" s="18">
        <v>0.15</v>
      </c>
      <c r="D6" s="18">
        <v>118.73</v>
      </c>
      <c r="E6" s="18">
        <f t="shared" ref="E6:E8" si="1">D6/2</f>
        <v>59.365000000000002</v>
      </c>
      <c r="F6" s="18">
        <v>19.3</v>
      </c>
      <c r="G6" s="18">
        <v>18.059999999999999</v>
      </c>
      <c r="H6" s="18">
        <v>18.09</v>
      </c>
      <c r="I6" s="18">
        <f t="shared" ref="I6" si="2">(H6+G6+F6)/3</f>
        <v>18.483333333333334</v>
      </c>
      <c r="J6" s="18">
        <f t="shared" ref="J6:J8" si="3">(I6*E6)/(3*0.018*C6)/10000000</f>
        <v>1.3546457818930047E-2</v>
      </c>
      <c r="K6" s="8">
        <f>(J6-J4)*(B6/2+2)*76.56/100</f>
        <v>5.7684543706913614</v>
      </c>
      <c r="L6" s="18">
        <f xml:space="preserve"> AVERAGE(K6:K8)</f>
        <v>5.8699579700902076</v>
      </c>
      <c r="M6" s="18">
        <f>STDEVA(K6:K8)</f>
        <v>0.74099777035336922</v>
      </c>
    </row>
    <row r="7" spans="1:24">
      <c r="A7" s="5" t="s">
        <v>34</v>
      </c>
      <c r="B7" s="13">
        <v>4000</v>
      </c>
      <c r="C7" s="18">
        <v>0.15</v>
      </c>
      <c r="D7" s="18">
        <v>118.1</v>
      </c>
      <c r="E7" s="18">
        <f t="shared" si="1"/>
        <v>59.05</v>
      </c>
      <c r="F7" s="18">
        <v>19.170000000000002</v>
      </c>
      <c r="G7" s="18">
        <v>19.8</v>
      </c>
      <c r="H7" s="18">
        <v>19.16</v>
      </c>
      <c r="I7" s="18">
        <f>(H7+G7+F7)/3</f>
        <v>19.376666666666669</v>
      </c>
      <c r="J7" s="18">
        <f t="shared" si="3"/>
        <v>1.4125829218106999E-2</v>
      </c>
      <c r="K7" s="8">
        <f>(J7-J4)*(B7/2+2)*76.56/100</f>
        <v>6.6564749905975305</v>
      </c>
      <c r="L7" s="18"/>
      <c r="M7" s="18"/>
      <c r="O7" s="15"/>
    </row>
    <row r="8" spans="1:24">
      <c r="A8" s="5" t="s">
        <v>34</v>
      </c>
      <c r="B8" s="13">
        <v>4000</v>
      </c>
      <c r="C8" s="18">
        <v>0.15</v>
      </c>
      <c r="D8" s="18">
        <v>116.89</v>
      </c>
      <c r="E8" s="18">
        <f t="shared" si="1"/>
        <v>58.445</v>
      </c>
      <c r="F8" s="18">
        <v>18.690000000000001</v>
      </c>
      <c r="G8" s="18">
        <v>18.079999999999998</v>
      </c>
      <c r="H8" s="18">
        <v>17.97</v>
      </c>
      <c r="I8" s="18">
        <f t="shared" ref="I8" si="4">(H8+G8+F8)/3</f>
        <v>18.246666666666666</v>
      </c>
      <c r="J8" s="18">
        <f t="shared" si="3"/>
        <v>1.3165758436213995E-2</v>
      </c>
      <c r="K8" s="8">
        <f>(J8-J4)*(B8/2+2)*76.56/100</f>
        <v>5.1849445489817274</v>
      </c>
    </row>
    <row r="9" spans="1:24">
      <c r="A9" s="5"/>
      <c r="B9" s="13"/>
      <c r="C9" s="18"/>
      <c r="D9" s="18"/>
      <c r="E9" s="18"/>
      <c r="F9" s="18"/>
      <c r="G9" s="18"/>
      <c r="H9" s="18"/>
      <c r="I9" s="18"/>
      <c r="J9" s="18"/>
      <c r="K9" s="8"/>
    </row>
    <row r="10" spans="1:24">
      <c r="A10" s="5"/>
      <c r="B10" s="13"/>
      <c r="C10" s="18"/>
      <c r="D10" s="18"/>
      <c r="E10" s="18"/>
      <c r="F10" s="18"/>
      <c r="G10" s="18"/>
      <c r="H10" s="18"/>
      <c r="I10" s="18"/>
      <c r="J10" s="18"/>
      <c r="K10" s="8"/>
      <c r="L10" s="18"/>
    </row>
    <row r="11" spans="1:24">
      <c r="A11" s="5" t="s">
        <v>34</v>
      </c>
      <c r="B11" s="13">
        <v>8000</v>
      </c>
      <c r="C11" s="18">
        <v>0.15</v>
      </c>
      <c r="D11" s="18">
        <v>131</v>
      </c>
      <c r="E11" s="18">
        <f t="shared" ref="E11:E13" si="5">D11/2</f>
        <v>65.5</v>
      </c>
      <c r="F11" s="18">
        <v>17.79</v>
      </c>
      <c r="G11" s="18">
        <v>17.989999999999998</v>
      </c>
      <c r="H11" s="18">
        <v>18.21</v>
      </c>
      <c r="I11" s="18">
        <f>(H11+G11+F11)/3</f>
        <v>17.996666666666666</v>
      </c>
      <c r="J11" s="18">
        <f t="shared" ref="J11:J13" si="6">(I11*E11)/(3*0.018*C11)/10000000</f>
        <v>1.455286008230453E-2</v>
      </c>
      <c r="K11" s="8">
        <f>(J11-J4)*(B11/2+2)*76.56/100</f>
        <v>14.614693344207408</v>
      </c>
      <c r="L11" s="18">
        <f xml:space="preserve"> AVERAGE(K11:K13)</f>
        <v>14.150207258380249</v>
      </c>
      <c r="M11" s="18">
        <f>STDEVA(K11:K13)</f>
        <v>1.165876159052047</v>
      </c>
    </row>
    <row r="12" spans="1:24">
      <c r="A12" s="5" t="s">
        <v>34</v>
      </c>
      <c r="B12" s="13">
        <v>8000</v>
      </c>
      <c r="C12" s="18">
        <v>0.15</v>
      </c>
      <c r="D12" s="18">
        <v>130</v>
      </c>
      <c r="E12" s="18">
        <f t="shared" si="5"/>
        <v>65</v>
      </c>
      <c r="F12" s="18">
        <v>15.9</v>
      </c>
      <c r="G12" s="18">
        <v>17.8</v>
      </c>
      <c r="H12" s="18">
        <v>18.52</v>
      </c>
      <c r="I12" s="18">
        <f t="shared" ref="I12" si="7">(H12+G12+F12)/3</f>
        <v>17.406666666666666</v>
      </c>
      <c r="J12" s="18">
        <f t="shared" si="6"/>
        <v>1.396831275720165E-2</v>
      </c>
      <c r="K12" s="8">
        <f>(J12-J4)*(B12/2+2)*76.56/100</f>
        <v>12.823680556948149</v>
      </c>
    </row>
    <row r="13" spans="1:24">
      <c r="A13" s="5" t="s">
        <v>34</v>
      </c>
      <c r="B13" s="13">
        <v>8000</v>
      </c>
      <c r="C13" s="18">
        <v>0.15</v>
      </c>
      <c r="D13" s="18">
        <v>115</v>
      </c>
      <c r="E13" s="18">
        <f t="shared" si="5"/>
        <v>57.5</v>
      </c>
      <c r="F13" s="18">
        <v>20.239999999999998</v>
      </c>
      <c r="G13" s="18">
        <v>21.19</v>
      </c>
      <c r="H13" s="18">
        <v>20.62</v>
      </c>
      <c r="I13" s="18">
        <f>(H13+G13+F13)/3</f>
        <v>20.683333333333334</v>
      </c>
      <c r="J13" s="18">
        <f t="shared" si="6"/>
        <v>1.4682613168724285E-2</v>
      </c>
      <c r="K13" s="8">
        <f>(J13-J4)*(B13/2+2)*76.56/100</f>
        <v>15.01224787398519</v>
      </c>
      <c r="L13" s="18"/>
      <c r="M13" s="18"/>
    </row>
    <row r="14" spans="1:24">
      <c r="C14" s="3"/>
      <c r="D14" s="3"/>
      <c r="E14" s="3"/>
      <c r="F14" s="3"/>
      <c r="G14" s="3"/>
      <c r="H14" s="3"/>
      <c r="I14" s="3"/>
      <c r="J14" s="3"/>
      <c r="K14" s="3"/>
    </row>
    <row r="15" spans="1:24">
      <c r="A15" s="5" t="s">
        <v>34</v>
      </c>
      <c r="B15" s="13">
        <v>10000</v>
      </c>
      <c r="C15" s="18">
        <v>0.15</v>
      </c>
      <c r="D15" s="18">
        <v>119.17</v>
      </c>
      <c r="E15" s="18">
        <f t="shared" ref="E15:E17" si="8">D15/2</f>
        <v>59.585000000000001</v>
      </c>
      <c r="F15" s="18">
        <v>17.62</v>
      </c>
      <c r="G15" s="18">
        <v>17.52</v>
      </c>
      <c r="H15" s="18">
        <v>17.489999999999998</v>
      </c>
      <c r="I15" s="18">
        <f>(H15+G15+F15)/3</f>
        <v>17.543333333333333</v>
      </c>
      <c r="J15" s="18">
        <f t="shared" ref="J15:J17" si="9">(I15*E15)/(3*0.018*C15)/10000000</f>
        <v>1.2905179218106999E-2</v>
      </c>
      <c r="K15" s="8">
        <f>(J15-J4)*(B15/2+2)*76.56/100</f>
        <v>11.956695479465674</v>
      </c>
      <c r="L15" s="18">
        <f xml:space="preserve"> AVERAGE(K15:K17)</f>
        <v>11.541423269920655</v>
      </c>
      <c r="M15" s="18">
        <f>STDEVA(K15:K17)</f>
        <v>0.43605376967030113</v>
      </c>
    </row>
    <row r="16" spans="1:24">
      <c r="A16" s="5" t="s">
        <v>34</v>
      </c>
      <c r="B16" s="13">
        <v>10000</v>
      </c>
      <c r="C16" s="18">
        <v>0.15</v>
      </c>
      <c r="D16" s="18">
        <v>123.01</v>
      </c>
      <c r="E16" s="18">
        <f t="shared" si="8"/>
        <v>61.505000000000003</v>
      </c>
      <c r="F16" s="18">
        <v>15.76</v>
      </c>
      <c r="G16" s="18">
        <v>16.7</v>
      </c>
      <c r="H16" s="18">
        <v>17.63</v>
      </c>
      <c r="I16" s="18">
        <f>(H16+G16+F16)/3</f>
        <v>16.696666666666665</v>
      </c>
      <c r="J16" s="18">
        <f t="shared" si="9"/>
        <v>1.2678129423868317E-2</v>
      </c>
      <c r="K16" s="8">
        <f>(J16-J4)*(B16/2+2)*76.56/100</f>
        <v>11.087201208475065</v>
      </c>
      <c r="L16" s="18"/>
      <c r="M16" s="18"/>
    </row>
    <row r="17" spans="1:13">
      <c r="A17" s="5" t="s">
        <v>34</v>
      </c>
      <c r="B17" s="13">
        <v>10000</v>
      </c>
      <c r="C17" s="18">
        <v>0.15</v>
      </c>
      <c r="D17" s="18">
        <v>120.67</v>
      </c>
      <c r="E17" s="18">
        <f t="shared" si="8"/>
        <v>60.335000000000001</v>
      </c>
      <c r="F17" s="18">
        <v>16.95</v>
      </c>
      <c r="G17" s="18">
        <v>16.91</v>
      </c>
      <c r="H17" s="18">
        <v>17.72</v>
      </c>
      <c r="I17" s="18">
        <f t="shared" ref="I17" si="10">(H17+G17+F17)/3</f>
        <v>17.193333333333332</v>
      </c>
      <c r="J17" s="18">
        <f t="shared" si="9"/>
        <v>1.2806910699588479E-2</v>
      </c>
      <c r="K17" s="8">
        <f>(J17-J4)*(B17/2+2)*76.56/100</f>
        <v>11.580373121821227</v>
      </c>
    </row>
    <row r="21" spans="1:13" ht="18.75">
      <c r="A21" s="14"/>
      <c r="B21" s="14" t="s">
        <v>7</v>
      </c>
      <c r="C21" s="14" t="s">
        <v>25</v>
      </c>
      <c r="D21" s="14" t="s">
        <v>3</v>
      </c>
      <c r="E21" s="14" t="s">
        <v>4</v>
      </c>
      <c r="F21" s="14" t="s">
        <v>0</v>
      </c>
      <c r="G21" s="14" t="s">
        <v>1</v>
      </c>
      <c r="H21" s="14" t="s">
        <v>16</v>
      </c>
      <c r="I21" s="14" t="s">
        <v>2</v>
      </c>
      <c r="J21" s="14" t="s">
        <v>26</v>
      </c>
      <c r="K21" s="14" t="s">
        <v>27</v>
      </c>
    </row>
    <row r="22" spans="1:13">
      <c r="A22" s="14" t="s">
        <v>10</v>
      </c>
      <c r="B22" s="14" t="s">
        <v>5</v>
      </c>
      <c r="C22" s="15">
        <v>0.15</v>
      </c>
      <c r="D22" s="15">
        <v>129.30000000000001</v>
      </c>
      <c r="E22" s="15">
        <f>D22/2</f>
        <v>64.650000000000006</v>
      </c>
      <c r="F22" s="15">
        <v>13.15</v>
      </c>
      <c r="G22" s="15">
        <v>12.77</v>
      </c>
      <c r="H22" s="15">
        <v>14.15</v>
      </c>
      <c r="I22" s="15">
        <f>(G22++F22+H22)/3</f>
        <v>13.356666666666667</v>
      </c>
      <c r="J22" s="15">
        <f>(I22*E22)/(3*0.018*C22)/10000000</f>
        <v>1.0660598765432103E-2</v>
      </c>
      <c r="K22" s="15" t="s">
        <v>5</v>
      </c>
      <c r="L22" s="18"/>
      <c r="M22" s="18"/>
    </row>
    <row r="23" spans="1:13">
      <c r="A23" s="5" t="s">
        <v>34</v>
      </c>
      <c r="B23" s="15">
        <v>6000</v>
      </c>
      <c r="C23" s="15">
        <v>0.15</v>
      </c>
      <c r="D23" s="18">
        <v>125.8</v>
      </c>
      <c r="E23" s="15">
        <f t="shared" ref="E23:E25" si="11">D23/2</f>
        <v>62.9</v>
      </c>
      <c r="F23" s="15">
        <v>23.67</v>
      </c>
      <c r="G23" s="15">
        <v>23.61</v>
      </c>
      <c r="H23" s="15">
        <v>23.87</v>
      </c>
      <c r="I23" s="15">
        <f t="shared" ref="I23:I25" si="12">(G23++F23+H23)/3</f>
        <v>23.716666666666669</v>
      </c>
      <c r="J23" s="15">
        <f t="shared" ref="J23:J25" si="13">(I23*E23)/(3*0.018*C23)/10000000</f>
        <v>1.8417016460905353E-2</v>
      </c>
      <c r="K23" s="17">
        <f>(J23-J22)*(B23/2+2)*76.56/100</f>
        <v>17.826816789738267</v>
      </c>
      <c r="L23" s="18"/>
      <c r="M23" s="18"/>
    </row>
    <row r="24" spans="1:13">
      <c r="A24" s="5" t="s">
        <v>34</v>
      </c>
      <c r="B24" s="15">
        <v>6000</v>
      </c>
      <c r="C24" s="15">
        <v>0.15</v>
      </c>
      <c r="D24" s="15">
        <v>109.1</v>
      </c>
      <c r="E24" s="15">
        <f t="shared" si="11"/>
        <v>54.55</v>
      </c>
      <c r="F24" s="15">
        <v>28.61</v>
      </c>
      <c r="G24" s="15">
        <v>29.39</v>
      </c>
      <c r="H24" s="15">
        <v>28.27</v>
      </c>
      <c r="I24" s="15">
        <f t="shared" si="12"/>
        <v>28.756666666666664</v>
      </c>
      <c r="J24" s="15">
        <f t="shared" si="13"/>
        <v>1.9366372427983541E-2</v>
      </c>
      <c r="K24" s="17">
        <f>(J24-J22)*(B24/2+2)*76.56/100</f>
        <v>20.008751228780238</v>
      </c>
      <c r="L24" s="18"/>
      <c r="M24" s="18"/>
    </row>
    <row r="25" spans="1:13">
      <c r="A25" s="5" t="s">
        <v>34</v>
      </c>
      <c r="B25" s="15">
        <v>6000</v>
      </c>
      <c r="C25" s="15">
        <v>0.15</v>
      </c>
      <c r="D25" s="15">
        <v>88.19</v>
      </c>
      <c r="E25" s="15">
        <f t="shared" si="11"/>
        <v>44.094999999999999</v>
      </c>
      <c r="F25" s="15">
        <v>30.57</v>
      </c>
      <c r="G25" s="15">
        <v>32.32</v>
      </c>
      <c r="H25" s="15">
        <v>35.5</v>
      </c>
      <c r="I25" s="15">
        <f t="shared" si="12"/>
        <v>32.796666666666667</v>
      </c>
      <c r="J25" s="15">
        <f t="shared" si="13"/>
        <v>1.7853938477366261E-2</v>
      </c>
      <c r="K25" s="17">
        <f>(J25-J22)*(B25/2+2)*76.56/100</f>
        <v>16.532677092137288</v>
      </c>
      <c r="L25" s="18">
        <f>AVERAGE(K25,K24,K23)</f>
        <v>18.122748370218599</v>
      </c>
      <c r="M25" s="18">
        <f>STDEVA(K25,K24,K23)</f>
        <v>1.7568308046319365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"/>
  <sheetViews>
    <sheetView tabSelected="1" workbookViewId="0">
      <selection activeCell="O16" sqref="O16"/>
    </sheetView>
  </sheetViews>
  <sheetFormatPr defaultRowHeight="15"/>
  <cols>
    <col min="1" max="1" width="12.140625" bestFit="1" customWidth="1"/>
    <col min="2" max="2" width="16.140625" bestFit="1" customWidth="1"/>
    <col min="3" max="3" width="11.5703125" bestFit="1" customWidth="1"/>
    <col min="4" max="4" width="11" bestFit="1" customWidth="1"/>
    <col min="5" max="5" width="10.5703125" bestFit="1" customWidth="1"/>
    <col min="11" max="11" width="13.7109375" bestFit="1" customWidth="1"/>
    <col min="12" max="12" width="17.5703125" style="7" bestFit="1" customWidth="1"/>
    <col min="13" max="13" width="12" style="7" bestFit="1" customWidth="1"/>
    <col min="14" max="24" width="9.140625" style="3"/>
  </cols>
  <sheetData>
    <row r="2" spans="1:24" ht="18.75">
      <c r="A2" s="14"/>
      <c r="B2" s="14" t="s">
        <v>7</v>
      </c>
      <c r="C2" s="14" t="s">
        <v>25</v>
      </c>
      <c r="D2" s="14" t="s">
        <v>3</v>
      </c>
      <c r="E2" s="14" t="s">
        <v>4</v>
      </c>
      <c r="F2" s="14" t="s">
        <v>0</v>
      </c>
      <c r="G2" s="14" t="s">
        <v>1</v>
      </c>
      <c r="H2" s="14" t="s">
        <v>16</v>
      </c>
      <c r="I2" s="14" t="s">
        <v>2</v>
      </c>
      <c r="J2" s="14" t="s">
        <v>26</v>
      </c>
      <c r="K2" s="14" t="s">
        <v>27</v>
      </c>
      <c r="L2" s="18" t="s">
        <v>22</v>
      </c>
      <c r="M2" s="18" t="s">
        <v>24</v>
      </c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>
      <c r="A3" s="14" t="s">
        <v>10</v>
      </c>
      <c r="B3" s="14" t="s">
        <v>5</v>
      </c>
      <c r="C3" s="14">
        <v>0.15</v>
      </c>
      <c r="D3" s="14">
        <v>129.30000000000001</v>
      </c>
      <c r="E3" s="15">
        <f t="shared" ref="E3:E6" si="0">D3/2</f>
        <v>64.650000000000006</v>
      </c>
      <c r="F3" s="15">
        <v>13.15</v>
      </c>
      <c r="G3" s="15">
        <v>12.77</v>
      </c>
      <c r="H3" s="15">
        <v>14.15</v>
      </c>
      <c r="I3" s="15">
        <f t="shared" ref="I3:I6" si="1">(G3++F3+H3)/3</f>
        <v>13.356666666666667</v>
      </c>
      <c r="J3" s="15">
        <f t="shared" ref="J3:J6" si="2">(I3*E3)/(3*0.018*C3)/10000000</f>
        <v>1.0660598765432103E-2</v>
      </c>
      <c r="K3" s="15" t="s">
        <v>5</v>
      </c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>
      <c r="A4" s="16" t="s">
        <v>36</v>
      </c>
      <c r="B4" s="15">
        <v>6000</v>
      </c>
      <c r="C4" s="15">
        <v>0.15</v>
      </c>
      <c r="D4" s="15">
        <v>92.3</v>
      </c>
      <c r="E4" s="15">
        <f t="shared" si="0"/>
        <v>46.15</v>
      </c>
      <c r="F4" s="15">
        <v>23.5</v>
      </c>
      <c r="G4" s="15">
        <v>24.4</v>
      </c>
      <c r="H4" s="15">
        <v>24.25</v>
      </c>
      <c r="I4" s="15">
        <f t="shared" si="1"/>
        <v>24.05</v>
      </c>
      <c r="J4" s="15">
        <f t="shared" si="2"/>
        <v>1.3702561728395065E-2</v>
      </c>
      <c r="K4" s="17">
        <f>(J4-J3)*(B4/2+2)*76.56/100</f>
        <v>6.9914383870222192</v>
      </c>
      <c r="L4" s="18">
        <f>AVERAGE(K4:K6)</f>
        <v>7.7502313292510268</v>
      </c>
      <c r="M4" s="18">
        <f>STDEVA(K4:K6)</f>
        <v>0.74389474145170487</v>
      </c>
      <c r="N4" s="16"/>
      <c r="O4" s="15"/>
      <c r="P4" s="15"/>
      <c r="Q4" s="15"/>
      <c r="R4" s="15"/>
      <c r="S4" s="15"/>
      <c r="T4" s="15"/>
      <c r="U4" s="15"/>
      <c r="V4" s="15"/>
      <c r="W4" s="15"/>
      <c r="X4" s="17"/>
    </row>
    <row r="5" spans="1:24">
      <c r="A5" s="16" t="s">
        <v>36</v>
      </c>
      <c r="B5" s="15">
        <v>6000</v>
      </c>
      <c r="C5" s="15">
        <v>0.15</v>
      </c>
      <c r="D5" s="15">
        <v>95.9</v>
      </c>
      <c r="E5" s="15">
        <f t="shared" si="0"/>
        <v>47.95</v>
      </c>
      <c r="F5" s="15">
        <v>23.9</v>
      </c>
      <c r="G5" s="15">
        <v>24.56</v>
      </c>
      <c r="H5" s="15">
        <v>24.26</v>
      </c>
      <c r="I5" s="15">
        <f t="shared" si="1"/>
        <v>24.24</v>
      </c>
      <c r="J5" s="15">
        <f t="shared" si="2"/>
        <v>1.4349481481481486E-2</v>
      </c>
      <c r="K5" s="17">
        <f>(J5-J3)*(B5/2+2)*76.56/100</f>
        <v>8.4782742394370363</v>
      </c>
      <c r="L5" s="18"/>
      <c r="M5" s="18"/>
      <c r="N5" s="16"/>
      <c r="O5" s="15"/>
      <c r="P5" s="15"/>
      <c r="Q5" s="15"/>
      <c r="R5" s="15"/>
      <c r="S5" s="15"/>
      <c r="T5" s="15"/>
      <c r="U5" s="15"/>
      <c r="V5" s="15"/>
      <c r="W5" s="15"/>
      <c r="X5" s="17"/>
    </row>
    <row r="6" spans="1:24">
      <c r="A6" s="16" t="s">
        <v>36</v>
      </c>
      <c r="B6" s="15">
        <v>6000</v>
      </c>
      <c r="C6" s="15">
        <v>0.15</v>
      </c>
      <c r="D6" s="15">
        <v>115</v>
      </c>
      <c r="E6" s="15">
        <f t="shared" si="0"/>
        <v>57.5</v>
      </c>
      <c r="F6" s="15">
        <v>19.52</v>
      </c>
      <c r="G6" s="15">
        <v>19.87</v>
      </c>
      <c r="H6" s="15">
        <v>19.97</v>
      </c>
      <c r="I6" s="15">
        <f t="shared" si="1"/>
        <v>19.786666666666665</v>
      </c>
      <c r="J6" s="15">
        <f t="shared" si="2"/>
        <v>1.4046090534979428E-2</v>
      </c>
      <c r="K6" s="17">
        <f>(J6-J3)*(B6/2+2)*76.56/100</f>
        <v>7.7809813612938266</v>
      </c>
      <c r="L6" s="18"/>
      <c r="M6" s="18"/>
      <c r="N6" s="16"/>
      <c r="O6" s="15"/>
      <c r="P6" s="15"/>
      <c r="Q6" s="15"/>
      <c r="R6" s="15"/>
      <c r="S6" s="15"/>
      <c r="T6" s="15"/>
      <c r="U6" s="15"/>
      <c r="V6" s="15"/>
      <c r="W6" s="15"/>
      <c r="X6" s="17"/>
    </row>
    <row r="7" spans="1:24" s="3" customFormat="1">
      <c r="A7" s="16"/>
      <c r="B7" s="15"/>
      <c r="C7" s="15"/>
      <c r="D7" s="15"/>
      <c r="E7" s="15"/>
      <c r="F7" s="15"/>
      <c r="G7" s="15"/>
      <c r="H7" s="15"/>
      <c r="I7" s="15"/>
      <c r="J7" s="15"/>
      <c r="K7" s="17"/>
      <c r="L7" s="18"/>
      <c r="M7" s="18"/>
      <c r="N7" s="16"/>
      <c r="O7" s="15"/>
      <c r="P7" s="15"/>
      <c r="Q7" s="15"/>
      <c r="R7" s="15"/>
      <c r="S7" s="15"/>
      <c r="T7" s="15"/>
      <c r="U7" s="15"/>
      <c r="V7" s="15"/>
      <c r="W7" s="15"/>
      <c r="X7" s="17"/>
    </row>
    <row r="8" spans="1:24">
      <c r="A8" s="16" t="s">
        <v>37</v>
      </c>
      <c r="B8" s="15">
        <v>6000</v>
      </c>
      <c r="C8" s="15">
        <v>0.15</v>
      </c>
      <c r="D8" s="15">
        <v>73.290000000000006</v>
      </c>
      <c r="E8" s="15">
        <v>36.645000000000003</v>
      </c>
      <c r="F8" s="15">
        <v>42.109380000000002</v>
      </c>
      <c r="G8" s="15">
        <v>43.252589999999998</v>
      </c>
      <c r="H8" s="15"/>
      <c r="I8" s="15">
        <v>42.680985</v>
      </c>
      <c r="J8" s="15">
        <v>1.9309193769444448E-2</v>
      </c>
      <c r="K8" s="17">
        <v>9.3707612172056045</v>
      </c>
      <c r="L8" s="18">
        <v>8.9666666666666668</v>
      </c>
      <c r="M8" s="18">
        <v>0.38630730427126686</v>
      </c>
      <c r="N8" s="16"/>
      <c r="O8" s="15"/>
      <c r="P8" s="15"/>
      <c r="Q8" s="15"/>
      <c r="R8" s="15"/>
      <c r="S8" s="15"/>
      <c r="T8" s="15"/>
      <c r="U8" s="15"/>
      <c r="V8" s="15"/>
      <c r="W8" s="15"/>
      <c r="X8" s="17"/>
    </row>
    <row r="9" spans="1:24">
      <c r="A9" s="16" t="s">
        <v>37</v>
      </c>
      <c r="B9" s="15">
        <v>6000</v>
      </c>
      <c r="C9" s="15">
        <v>0.15</v>
      </c>
      <c r="D9" s="15">
        <v>76.930000000000007</v>
      </c>
      <c r="E9" s="15">
        <v>38.465000000000003</v>
      </c>
      <c r="F9" s="15">
        <v>40.495939999999997</v>
      </c>
      <c r="G9" s="15">
        <v>39.40699</v>
      </c>
      <c r="H9" s="15"/>
      <c r="I9" s="15">
        <v>39.951464999999999</v>
      </c>
      <c r="J9" s="15">
        <v>1.8972013595370377E-2</v>
      </c>
      <c r="K9" s="17">
        <v>8.5958095031097361</v>
      </c>
      <c r="L9" s="18"/>
      <c r="M9" s="18"/>
      <c r="N9" s="16"/>
      <c r="O9" s="15"/>
      <c r="P9" s="15"/>
      <c r="Q9" s="18"/>
      <c r="R9" s="15"/>
      <c r="S9" s="15"/>
      <c r="T9" s="15"/>
      <c r="U9" s="15"/>
      <c r="V9" s="15"/>
      <c r="W9" s="15"/>
      <c r="X9" s="17"/>
    </row>
    <row r="10" spans="1:24">
      <c r="A10" s="16" t="s">
        <v>37</v>
      </c>
      <c r="B10" s="15">
        <v>6000</v>
      </c>
      <c r="C10" s="15">
        <v>0.15</v>
      </c>
      <c r="D10" s="18">
        <v>75.37</v>
      </c>
      <c r="E10" s="15">
        <v>37.685000000000002</v>
      </c>
      <c r="F10" s="15">
        <v>40.579689999999999</v>
      </c>
      <c r="G10" s="15">
        <v>41.605089999999997</v>
      </c>
      <c r="H10" s="15"/>
      <c r="I10" s="15">
        <v>41.092389999999995</v>
      </c>
      <c r="J10" s="15">
        <v>1.9118107619135807E-2</v>
      </c>
      <c r="K10" s="17">
        <v>8.9315819560633649</v>
      </c>
      <c r="L10" s="18"/>
      <c r="M10" s="18"/>
      <c r="N10" s="16"/>
      <c r="O10" s="15"/>
      <c r="P10" s="15"/>
      <c r="Q10" s="18"/>
      <c r="R10" s="15"/>
      <c r="S10" s="15"/>
      <c r="T10" s="15"/>
      <c r="U10" s="15"/>
      <c r="V10" s="15"/>
      <c r="W10" s="15"/>
      <c r="X10" s="17"/>
    </row>
    <row r="11" spans="1:24" s="3" customFormat="1">
      <c r="A11" s="16"/>
      <c r="B11" s="15"/>
      <c r="C11" s="15"/>
      <c r="D11" s="18"/>
      <c r="E11" s="15"/>
      <c r="F11" s="15"/>
      <c r="G11" s="15"/>
      <c r="H11" s="15"/>
      <c r="I11" s="15"/>
      <c r="J11" s="15"/>
      <c r="K11" s="17"/>
      <c r="L11" s="18"/>
      <c r="M11" s="18"/>
      <c r="N11" s="16"/>
      <c r="O11" s="15"/>
      <c r="P11" s="15"/>
      <c r="Q11" s="18"/>
      <c r="R11" s="15"/>
      <c r="S11" s="15"/>
      <c r="T11" s="15"/>
      <c r="U11" s="15"/>
      <c r="V11" s="15"/>
      <c r="W11" s="15"/>
      <c r="X11" s="17"/>
    </row>
    <row r="12" spans="1:24">
      <c r="A12" s="16" t="s">
        <v>35</v>
      </c>
      <c r="B12" s="15">
        <v>6000</v>
      </c>
      <c r="C12" s="15">
        <v>0.15</v>
      </c>
      <c r="D12" s="15">
        <v>107.4</v>
      </c>
      <c r="E12" s="15">
        <f t="shared" ref="E12:E14" si="3">D12/2</f>
        <v>53.7</v>
      </c>
      <c r="F12" s="15">
        <v>24.69</v>
      </c>
      <c r="G12" s="15">
        <v>23.84</v>
      </c>
      <c r="H12" s="15">
        <v>23.9</v>
      </c>
      <c r="I12" s="15">
        <f t="shared" ref="I12:I14" si="4">(G12++F12+H12)/3</f>
        <v>24.143333333333334</v>
      </c>
      <c r="J12" s="15">
        <f t="shared" ref="J12:J14" si="5">(I12*E12)/(3*0.018*C12)/10000000</f>
        <v>1.6006135802469141E-2</v>
      </c>
      <c r="K12" s="17">
        <f>(J12-J3)*(B12/2+2)*76.56/100</f>
        <v>12.285814552977781</v>
      </c>
      <c r="L12" s="18">
        <f>AVERAGE(K12:K14)</f>
        <v>13.432320205058112</v>
      </c>
      <c r="M12" s="18">
        <f>STDEVA(K12:K14)</f>
        <v>2.2589982498660772</v>
      </c>
      <c r="N12" s="18"/>
      <c r="O12" s="18"/>
      <c r="P12" s="18"/>
    </row>
    <row r="13" spans="1:24">
      <c r="A13" s="16" t="s">
        <v>35</v>
      </c>
      <c r="B13" s="15">
        <v>6000</v>
      </c>
      <c r="C13" s="15">
        <v>0.15</v>
      </c>
      <c r="D13" s="15">
        <v>95.69</v>
      </c>
      <c r="E13" s="15">
        <f t="shared" si="3"/>
        <v>47.844999999999999</v>
      </c>
      <c r="F13" s="15">
        <v>26.65</v>
      </c>
      <c r="G13" s="15">
        <v>27.39</v>
      </c>
      <c r="H13" s="15">
        <v>26.57</v>
      </c>
      <c r="I13" s="15">
        <f t="shared" si="4"/>
        <v>26.87</v>
      </c>
      <c r="J13" s="15">
        <f t="shared" si="5"/>
        <v>1.5871545061728401E-2</v>
      </c>
      <c r="K13" s="17">
        <f>(J13-J3)*(B13/2+2)*76.56/100</f>
        <v>11.976480454302225</v>
      </c>
      <c r="L13" s="18"/>
      <c r="M13" s="18"/>
      <c r="N13" s="18"/>
      <c r="O13" s="18"/>
      <c r="P13" s="18"/>
    </row>
    <row r="14" spans="1:24">
      <c r="A14" s="16" t="s">
        <v>35</v>
      </c>
      <c r="B14" s="15">
        <v>6000</v>
      </c>
      <c r="C14" s="15">
        <v>0.15</v>
      </c>
      <c r="D14" s="15">
        <v>99.29</v>
      </c>
      <c r="E14" s="15">
        <f t="shared" si="3"/>
        <v>49.645000000000003</v>
      </c>
      <c r="F14" s="15">
        <v>28.93</v>
      </c>
      <c r="G14" s="15">
        <v>28.55</v>
      </c>
      <c r="H14" s="15">
        <v>28.85</v>
      </c>
      <c r="I14" s="15">
        <f t="shared" si="4"/>
        <v>28.776666666666671</v>
      </c>
      <c r="J14" s="15">
        <f t="shared" si="5"/>
        <v>1.7637254526748979E-2</v>
      </c>
      <c r="K14" s="17">
        <f>(J14-J3)*(B14/2+2)*76.56/100</f>
        <v>16.034665607894329</v>
      </c>
      <c r="L14" s="18"/>
      <c r="M14" s="18"/>
      <c r="N14" s="18"/>
      <c r="O14" s="18"/>
      <c r="P14" s="18"/>
    </row>
    <row r="15" spans="1:24">
      <c r="O15" s="15"/>
      <c r="P15" s="15"/>
      <c r="Q15" s="15"/>
    </row>
    <row r="16" spans="1:24">
      <c r="O16" s="15"/>
      <c r="P16" s="15"/>
      <c r="Q16" s="15"/>
    </row>
    <row r="17" spans="15:17">
      <c r="O17" s="15"/>
      <c r="P17" s="15"/>
      <c r="Q17" s="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"/>
  <sheetViews>
    <sheetView workbookViewId="0">
      <selection activeCell="H15" sqref="H15"/>
    </sheetView>
  </sheetViews>
  <sheetFormatPr defaultRowHeight="15"/>
  <cols>
    <col min="4" max="4" width="12.5703125" customWidth="1"/>
    <col min="8" max="8" width="11.5703125" style="7" customWidth="1"/>
  </cols>
  <sheetData>
    <row r="1" spans="1:31">
      <c r="A1" s="3"/>
    </row>
    <row r="2" spans="1:31">
      <c r="A2" s="21" t="s">
        <v>29</v>
      </c>
      <c r="B2" s="7"/>
      <c r="C2" s="7"/>
      <c r="D2" s="7"/>
      <c r="E2" s="7"/>
      <c r="F2" s="7"/>
      <c r="G2" s="7"/>
      <c r="I2" s="21" t="s">
        <v>31</v>
      </c>
      <c r="J2" s="7"/>
      <c r="K2" s="7"/>
      <c r="L2" s="7"/>
      <c r="M2" s="7"/>
      <c r="N2" s="7"/>
      <c r="O2" s="7"/>
      <c r="Q2" s="21" t="s">
        <v>34</v>
      </c>
      <c r="R2" s="7"/>
      <c r="S2" s="7"/>
      <c r="T2" s="7"/>
      <c r="U2" s="7"/>
      <c r="V2" s="7"/>
      <c r="W2" s="7"/>
      <c r="Y2" s="9" t="s">
        <v>10</v>
      </c>
    </row>
    <row r="3" spans="1:31">
      <c r="A3" s="7"/>
      <c r="B3" s="7"/>
      <c r="C3" s="7"/>
      <c r="D3" s="7" t="s">
        <v>46</v>
      </c>
      <c r="E3" s="7"/>
      <c r="F3" s="7"/>
      <c r="G3" s="7"/>
      <c r="I3" s="7"/>
      <c r="J3" s="7"/>
      <c r="K3" s="7"/>
      <c r="L3" s="7" t="s">
        <v>46</v>
      </c>
      <c r="M3" s="7"/>
      <c r="N3" s="7"/>
      <c r="O3" s="7"/>
      <c r="Q3" s="7"/>
      <c r="R3" s="7"/>
      <c r="S3" s="7"/>
      <c r="T3" s="7"/>
      <c r="U3" s="7"/>
      <c r="V3" s="7"/>
      <c r="W3" s="7"/>
      <c r="AB3" t="s">
        <v>46</v>
      </c>
    </row>
    <row r="4" spans="1:31" ht="18">
      <c r="A4" s="7" t="s">
        <v>38</v>
      </c>
      <c r="B4" s="22" t="s">
        <v>39</v>
      </c>
      <c r="C4" s="22" t="s">
        <v>40</v>
      </c>
      <c r="D4" s="22" t="s">
        <v>47</v>
      </c>
      <c r="E4" s="22" t="s">
        <v>42</v>
      </c>
      <c r="F4" s="22" t="s">
        <v>43</v>
      </c>
      <c r="G4" s="22" t="s">
        <v>44</v>
      </c>
      <c r="I4" s="7" t="s">
        <v>38</v>
      </c>
      <c r="J4" s="22" t="s">
        <v>39</v>
      </c>
      <c r="K4" s="22" t="s">
        <v>40</v>
      </c>
      <c r="L4" s="22" t="s">
        <v>41</v>
      </c>
      <c r="M4" s="22" t="s">
        <v>42</v>
      </c>
      <c r="N4" s="22" t="s">
        <v>43</v>
      </c>
      <c r="O4" s="22" t="s">
        <v>44</v>
      </c>
      <c r="Q4" s="7" t="s">
        <v>38</v>
      </c>
      <c r="R4" s="22" t="s">
        <v>39</v>
      </c>
      <c r="S4" s="22" t="s">
        <v>40</v>
      </c>
      <c r="T4" s="22" t="s">
        <v>41</v>
      </c>
      <c r="U4" s="22" t="s">
        <v>42</v>
      </c>
      <c r="V4" s="22" t="s">
        <v>43</v>
      </c>
      <c r="W4" s="22" t="s">
        <v>44</v>
      </c>
      <c r="Y4" s="7" t="s">
        <v>38</v>
      </c>
      <c r="Z4" s="22" t="s">
        <v>39</v>
      </c>
      <c r="AA4" s="22" t="s">
        <v>40</v>
      </c>
      <c r="AB4" s="22" t="s">
        <v>41</v>
      </c>
      <c r="AC4" s="22" t="s">
        <v>42</v>
      </c>
      <c r="AD4" s="22" t="s">
        <v>43</v>
      </c>
      <c r="AE4" s="22" t="s">
        <v>44</v>
      </c>
    </row>
    <row r="5" spans="1:31">
      <c r="A5" s="7">
        <v>6</v>
      </c>
      <c r="B5" s="22">
        <f>A5+273.15</f>
        <v>279.14999999999998</v>
      </c>
      <c r="C5" s="22">
        <f>1000/B5</f>
        <v>3.5823034210997675</v>
      </c>
      <c r="D5" s="15">
        <v>12.5</v>
      </c>
      <c r="E5" s="22">
        <f>LN(D5)</f>
        <v>2.5257286443082556</v>
      </c>
      <c r="F5">
        <v>49.915004115226367</v>
      </c>
      <c r="G5" s="22">
        <f>LN(F5)</f>
        <v>3.9103216412330686</v>
      </c>
      <c r="I5" s="7">
        <v>6</v>
      </c>
      <c r="J5" s="22">
        <f>I5+273.15</f>
        <v>279.14999999999998</v>
      </c>
      <c r="K5" s="22">
        <f>1000/J5</f>
        <v>3.5823034210997675</v>
      </c>
      <c r="L5" s="20">
        <v>14.5</v>
      </c>
      <c r="M5" s="22">
        <f>LN(L5)</f>
        <v>2.6741486494265287</v>
      </c>
      <c r="N5">
        <v>68.356432098765453</v>
      </c>
      <c r="O5" s="22">
        <f>LN(N5)</f>
        <v>4.2247356640644291</v>
      </c>
      <c r="Q5" s="7">
        <v>6</v>
      </c>
      <c r="R5" s="22">
        <f>Q5+273.15</f>
        <v>279.14999999999998</v>
      </c>
      <c r="S5" s="22">
        <f>1000/R5</f>
        <v>3.5823034210997675</v>
      </c>
      <c r="T5" s="20">
        <v>6.8299999999999992</v>
      </c>
      <c r="U5" s="22">
        <f>LN(T5)</f>
        <v>1.9213246735826985</v>
      </c>
      <c r="V5">
        <v>16.39270164609054</v>
      </c>
      <c r="W5" s="22">
        <f>LN(V5)</f>
        <v>2.7968362141988163</v>
      </c>
      <c r="Y5" s="7">
        <v>6</v>
      </c>
      <c r="Z5" s="22">
        <f>Y5+273.15</f>
        <v>279.14999999999998</v>
      </c>
      <c r="AA5" s="22">
        <f>1000/Z5</f>
        <v>3.5823034210997675</v>
      </c>
      <c r="AB5" s="20">
        <v>3.180974</v>
      </c>
      <c r="AC5" s="22">
        <f>LN(AB5)</f>
        <v>1.1571874392032673</v>
      </c>
      <c r="AD5" s="22">
        <v>22.770181069958848</v>
      </c>
      <c r="AE5" s="22">
        <f>LN(AD5)</f>
        <v>3.1254518321722187</v>
      </c>
    </row>
    <row r="6" spans="1:31">
      <c r="A6" s="7">
        <v>10</v>
      </c>
      <c r="B6" s="22">
        <f t="shared" ref="B6:B9" si="0">A6+273.15</f>
        <v>283.14999999999998</v>
      </c>
      <c r="C6" s="22">
        <f t="shared" ref="C6:C9" si="1">1000/B6</f>
        <v>3.5316969803990821</v>
      </c>
      <c r="D6" s="20">
        <v>16.670000000000002</v>
      </c>
      <c r="E6" s="22">
        <f t="shared" ref="E6:E9" si="2">LN(D6)</f>
        <v>2.8136106967627028</v>
      </c>
      <c r="F6" s="7">
        <v>57.363897119341566</v>
      </c>
      <c r="G6" s="22">
        <f t="shared" ref="G6:G9" si="3">LN(F6)</f>
        <v>4.0494151353945673</v>
      </c>
      <c r="H6" s="22"/>
      <c r="I6" s="7">
        <v>10</v>
      </c>
      <c r="J6" s="22">
        <f t="shared" ref="J6:J9" si="4">I6+273.15</f>
        <v>283.14999999999998</v>
      </c>
      <c r="K6" s="22">
        <f t="shared" ref="K6:K9" si="5">1000/J6</f>
        <v>3.5316969803990821</v>
      </c>
      <c r="L6" s="20">
        <v>19.989999999999998</v>
      </c>
      <c r="M6" s="22">
        <f t="shared" ref="M6:M9" si="6">LN(L6)</f>
        <v>2.9952321485123088</v>
      </c>
      <c r="N6">
        <v>71.966808641975348</v>
      </c>
      <c r="O6" s="22">
        <f t="shared" ref="O6:O9" si="7">LN(N6)</f>
        <v>4.2762050216433236</v>
      </c>
      <c r="Q6" s="7">
        <v>10</v>
      </c>
      <c r="R6" s="22">
        <f t="shared" ref="R6:R9" si="8">Q6+273.15</f>
        <v>283.14999999999998</v>
      </c>
      <c r="S6" s="22">
        <f t="shared" ref="S6:S9" si="9">1000/R6</f>
        <v>3.5316969803990821</v>
      </c>
      <c r="T6" s="20">
        <v>8.6266666666666669</v>
      </c>
      <c r="U6" s="22">
        <f t="shared" ref="U6:U9" si="10">LN(T6)</f>
        <v>2.1548581809645904</v>
      </c>
      <c r="V6">
        <v>10.084271604938287</v>
      </c>
      <c r="W6" s="22">
        <f t="shared" ref="W6:W9" si="11">LN(V6)</f>
        <v>2.3109769432091141</v>
      </c>
      <c r="Y6" s="7">
        <v>10</v>
      </c>
      <c r="Z6" s="22">
        <f t="shared" ref="Z6:Z9" si="12">Y6+273.15</f>
        <v>283.14999999999998</v>
      </c>
      <c r="AA6" s="22">
        <f t="shared" ref="AA6:AA9" si="13">1000/Z6</f>
        <v>3.5316969803990821</v>
      </c>
      <c r="AB6" s="20">
        <v>4.6866666666666665</v>
      </c>
      <c r="AC6" s="22">
        <f t="shared" ref="AC6:AC9" si="14">LN(AB6)</f>
        <v>1.5447215977144091</v>
      </c>
      <c r="AD6" s="7">
        <v>36.584930041152269</v>
      </c>
      <c r="AE6" s="22">
        <f t="shared" ref="AE6:AE9" si="15">LN(AD6)</f>
        <v>3.5996364081065382</v>
      </c>
    </row>
    <row r="7" spans="1:31">
      <c r="A7" s="7">
        <v>15</v>
      </c>
      <c r="B7" s="22">
        <f t="shared" si="0"/>
        <v>288.14999999999998</v>
      </c>
      <c r="C7" s="22">
        <f t="shared" si="1"/>
        <v>3.4704147145583901</v>
      </c>
      <c r="D7" s="20">
        <v>22.303333333333331</v>
      </c>
      <c r="E7" s="22">
        <f t="shared" si="2"/>
        <v>3.1047361441266159</v>
      </c>
      <c r="F7">
        <v>82.021555555555565</v>
      </c>
      <c r="G7" s="22">
        <f t="shared" si="3"/>
        <v>4.4069820853480239</v>
      </c>
      <c r="H7" s="22"/>
      <c r="I7" s="7">
        <v>15</v>
      </c>
      <c r="J7" s="22">
        <f t="shared" si="4"/>
        <v>288.14999999999998</v>
      </c>
      <c r="K7" s="22">
        <f t="shared" si="5"/>
        <v>3.4704147145583901</v>
      </c>
      <c r="L7" s="20">
        <v>23.206666666666667</v>
      </c>
      <c r="M7" s="22">
        <f t="shared" si="6"/>
        <v>3.144439593715183</v>
      </c>
      <c r="N7">
        <v>89.949368312757215</v>
      </c>
      <c r="O7" s="22">
        <f t="shared" si="7"/>
        <v>4.49924693772327</v>
      </c>
      <c r="Q7" s="7">
        <v>15</v>
      </c>
      <c r="R7" s="22">
        <f t="shared" si="8"/>
        <v>288.14999999999998</v>
      </c>
      <c r="S7" s="22">
        <f t="shared" si="9"/>
        <v>3.4704147145583901</v>
      </c>
      <c r="T7" s="20">
        <v>15.280000000000001</v>
      </c>
      <c r="U7" s="22">
        <f t="shared" si="10"/>
        <v>2.7265447837383747</v>
      </c>
      <c r="V7">
        <v>28.535858024691365</v>
      </c>
      <c r="W7" s="22">
        <f t="shared" si="11"/>
        <v>3.3511614727390331</v>
      </c>
      <c r="Y7" s="7">
        <v>15</v>
      </c>
      <c r="Z7" s="22">
        <f t="shared" si="12"/>
        <v>288.14999999999998</v>
      </c>
      <c r="AA7" s="22">
        <f t="shared" si="13"/>
        <v>3.4704147145583901</v>
      </c>
      <c r="AB7" s="20">
        <v>6.8233333333333333</v>
      </c>
      <c r="AC7" s="22">
        <f t="shared" si="14"/>
        <v>1.9203481110050884</v>
      </c>
      <c r="AD7" s="7">
        <v>57.126462962962975</v>
      </c>
      <c r="AE7" s="22">
        <f t="shared" si="15"/>
        <v>4.0452674587413737</v>
      </c>
    </row>
    <row r="8" spans="1:31">
      <c r="A8" s="7">
        <v>20</v>
      </c>
      <c r="B8" s="22">
        <f t="shared" si="0"/>
        <v>293.14999999999998</v>
      </c>
      <c r="C8" s="22">
        <f t="shared" si="1"/>
        <v>3.4112229234180456</v>
      </c>
      <c r="D8" s="20">
        <v>26</v>
      </c>
      <c r="E8" s="22">
        <f t="shared" si="2"/>
        <v>3.2580965380214821</v>
      </c>
      <c r="F8">
        <v>77.009504115226335</v>
      </c>
      <c r="G8" s="22">
        <f t="shared" si="3"/>
        <v>4.3439288443046946</v>
      </c>
      <c r="H8" s="22"/>
      <c r="I8" s="7">
        <v>20</v>
      </c>
      <c r="J8" s="22">
        <f t="shared" si="4"/>
        <v>293.14999999999998</v>
      </c>
      <c r="K8" s="22">
        <f t="shared" si="5"/>
        <v>3.4112229234180456</v>
      </c>
      <c r="L8" s="20">
        <v>34.94</v>
      </c>
      <c r="M8" s="22">
        <f t="shared" si="6"/>
        <v>3.5536323047059106</v>
      </c>
      <c r="N8">
        <v>121.50919547325104</v>
      </c>
      <c r="O8" s="22">
        <f t="shared" si="7"/>
        <v>4.7999899428242125</v>
      </c>
      <c r="Q8" s="7">
        <v>20</v>
      </c>
      <c r="R8" s="22">
        <f t="shared" si="8"/>
        <v>293.14999999999998</v>
      </c>
      <c r="S8" s="22">
        <f t="shared" si="9"/>
        <v>3.4112229234180456</v>
      </c>
      <c r="T8" s="20">
        <v>17.110000000000003</v>
      </c>
      <c r="U8" s="22">
        <f t="shared" si="10"/>
        <v>2.8396630879041025</v>
      </c>
      <c r="V8">
        <v>28.481251028806611</v>
      </c>
      <c r="W8" s="22">
        <f t="shared" si="11"/>
        <v>3.3492460121522973</v>
      </c>
      <c r="Y8" s="7">
        <v>20</v>
      </c>
      <c r="Z8" s="22">
        <f t="shared" si="12"/>
        <v>293.14999999999998</v>
      </c>
      <c r="AA8" s="22">
        <f t="shared" si="13"/>
        <v>3.4112229234180456</v>
      </c>
      <c r="AB8" s="20">
        <v>9.5966666666666658</v>
      </c>
      <c r="AC8" s="22">
        <f t="shared" si="14"/>
        <v>2.2614158159559747</v>
      </c>
      <c r="AD8" s="22">
        <v>70.725063786008249</v>
      </c>
      <c r="AE8" s="22">
        <f t="shared" si="15"/>
        <v>4.2588000190749336</v>
      </c>
    </row>
    <row r="9" spans="1:31">
      <c r="A9" s="7">
        <v>25</v>
      </c>
      <c r="B9" s="22">
        <f t="shared" si="0"/>
        <v>298.14999999999998</v>
      </c>
      <c r="C9" s="22">
        <f t="shared" si="1"/>
        <v>3.3540164346805303</v>
      </c>
      <c r="D9" s="20">
        <v>46.9</v>
      </c>
      <c r="E9" s="22">
        <f t="shared" si="2"/>
        <v>3.8480176754522337</v>
      </c>
      <c r="F9">
        <v>152.25495061728401</v>
      </c>
      <c r="G9" s="22">
        <f t="shared" si="3"/>
        <v>5.0255564224310421</v>
      </c>
      <c r="H9" s="22"/>
      <c r="I9" s="7">
        <v>25</v>
      </c>
      <c r="J9" s="22">
        <f t="shared" si="4"/>
        <v>298.14999999999998</v>
      </c>
      <c r="K9" s="22">
        <f t="shared" si="5"/>
        <v>3.3540164346805303</v>
      </c>
      <c r="L9" s="20">
        <v>47.46</v>
      </c>
      <c r="M9" s="22">
        <f t="shared" si="6"/>
        <v>3.8598872510076174</v>
      </c>
      <c r="N9">
        <v>176.55649382716101</v>
      </c>
      <c r="O9" s="22">
        <f t="shared" si="7"/>
        <v>5.173640903500063</v>
      </c>
      <c r="Q9" s="7">
        <v>25</v>
      </c>
      <c r="R9" s="22">
        <f t="shared" si="8"/>
        <v>298.14999999999998</v>
      </c>
      <c r="S9" s="22">
        <f t="shared" si="9"/>
        <v>3.3540164346805303</v>
      </c>
      <c r="T9" s="20">
        <v>25.45</v>
      </c>
      <c r="U9" s="22">
        <f t="shared" si="10"/>
        <v>3.2367157429965316</v>
      </c>
      <c r="V9">
        <v>50.443395061728367</v>
      </c>
      <c r="W9" s="22">
        <f t="shared" si="11"/>
        <v>3.920851817747681</v>
      </c>
      <c r="Y9" s="7">
        <v>25</v>
      </c>
      <c r="Z9" s="22">
        <f t="shared" si="12"/>
        <v>298.14999999999998</v>
      </c>
      <c r="AA9" s="22">
        <f t="shared" si="13"/>
        <v>3.3540164346805303</v>
      </c>
      <c r="AB9" s="20">
        <v>12.02</v>
      </c>
      <c r="AC9" s="22">
        <f t="shared" si="14"/>
        <v>2.4865719291070616</v>
      </c>
      <c r="AD9" s="7">
        <v>97.829444444444462</v>
      </c>
      <c r="AE9" s="22">
        <f t="shared" si="15"/>
        <v>4.5832255996680189</v>
      </c>
    </row>
    <row r="10" spans="1:31">
      <c r="A10" s="7"/>
      <c r="B10" s="22"/>
      <c r="C10" s="22"/>
      <c r="D10" s="7" t="s">
        <v>45</v>
      </c>
      <c r="E10" s="22">
        <f>4.3779*1.987</f>
        <v>8.6988873000000009</v>
      </c>
      <c r="F10" s="7"/>
      <c r="G10" s="22"/>
      <c r="H10" s="22"/>
      <c r="I10" s="7"/>
      <c r="J10" s="22"/>
      <c r="K10" s="22"/>
      <c r="L10" s="20" t="s">
        <v>45</v>
      </c>
      <c r="M10" s="20">
        <f>4.2145*1.987</f>
        <v>8.3742115000000013</v>
      </c>
      <c r="N10" s="7"/>
      <c r="O10" s="22"/>
      <c r="Q10" s="7"/>
      <c r="R10" s="22"/>
      <c r="S10" s="22"/>
      <c r="T10" s="20" t="s">
        <v>45</v>
      </c>
      <c r="U10" s="20">
        <f>5.7752*1.987</f>
        <v>11.4753224</v>
      </c>
      <c r="V10" s="7"/>
      <c r="W10" s="22"/>
      <c r="Y10" s="7"/>
      <c r="Z10" s="22"/>
      <c r="AA10" s="22"/>
      <c r="AB10" s="20" t="s">
        <v>45</v>
      </c>
      <c r="AC10" s="20">
        <f>1.987*6.1748</f>
        <v>12.2693276</v>
      </c>
      <c r="AD10" s="7"/>
      <c r="AE10" s="22"/>
    </row>
    <row r="11" spans="1:31">
      <c r="A11" s="7"/>
      <c r="B11" s="22"/>
      <c r="C11" s="22"/>
      <c r="D11" s="7"/>
      <c r="E11" s="22"/>
      <c r="G11" s="22"/>
      <c r="I11" s="7"/>
      <c r="J11" s="7"/>
      <c r="K11" s="7"/>
      <c r="L11" s="20"/>
      <c r="M11" s="20"/>
      <c r="N11" s="7"/>
      <c r="O11" s="7"/>
      <c r="Q11" s="7"/>
      <c r="R11" s="7"/>
      <c r="S11" s="7"/>
      <c r="T11" s="20"/>
      <c r="U11" s="20"/>
      <c r="V11" s="7"/>
      <c r="W11" s="7"/>
      <c r="AB11" s="20"/>
      <c r="AC11" s="20"/>
    </row>
    <row r="12" spans="1:31">
      <c r="A12" s="7"/>
      <c r="B12" s="22"/>
      <c r="C12" s="22"/>
      <c r="D12" s="20"/>
      <c r="E12" s="22"/>
      <c r="F12" s="7"/>
      <c r="G12" s="22"/>
    </row>
    <row r="13" spans="1:31">
      <c r="A13" s="7"/>
      <c r="B13" s="22"/>
      <c r="C13" s="22"/>
      <c r="D13" s="20"/>
      <c r="E13" s="22"/>
      <c r="G13" s="2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2" sqref="B2"/>
    </sheetView>
  </sheetViews>
  <sheetFormatPr defaultRowHeight="15"/>
  <cols>
    <col min="1" max="1" width="24.85546875" bestFit="1" customWidth="1"/>
    <col min="2" max="2" width="26" bestFit="1" customWidth="1"/>
    <col min="3" max="3" width="12" bestFit="1" customWidth="1"/>
    <col min="4" max="4" width="15.28515625" bestFit="1" customWidth="1"/>
  </cols>
  <sheetData>
    <row r="1" spans="1:4">
      <c r="A1" s="21" t="s">
        <v>52</v>
      </c>
    </row>
    <row r="2" spans="1:4">
      <c r="A2" s="7" t="s">
        <v>55</v>
      </c>
      <c r="B2" s="26" t="s">
        <v>48</v>
      </c>
      <c r="C2" s="26" t="s">
        <v>23</v>
      </c>
      <c r="D2" s="26" t="s">
        <v>56</v>
      </c>
    </row>
    <row r="3" spans="1:4">
      <c r="A3" s="23" t="s">
        <v>49</v>
      </c>
      <c r="B3" s="7">
        <v>2.6167272736625408E-2</v>
      </c>
      <c r="C3" s="7">
        <v>4.574773567389032E-4</v>
      </c>
      <c r="D3" s="7">
        <f>B3/B3*100</f>
        <v>100</v>
      </c>
    </row>
    <row r="4" spans="1:4">
      <c r="A4" s="23" t="s">
        <v>50</v>
      </c>
      <c r="B4" s="7">
        <v>2.7037421296296389E-2</v>
      </c>
      <c r="C4" s="7">
        <v>3.8468288745515723E-4</v>
      </c>
      <c r="D4" s="7">
        <f>B4/B3*100</f>
        <v>103.32533148727062</v>
      </c>
    </row>
    <row r="5" spans="1:4">
      <c r="A5" s="23" t="s">
        <v>51</v>
      </c>
      <c r="B5" s="7">
        <v>2.7793798456790111E-2</v>
      </c>
      <c r="C5" s="7">
        <v>3.2241088441416251E-5</v>
      </c>
      <c r="D5" s="7">
        <f>B5/B3*100</f>
        <v>106.21587788890248</v>
      </c>
    </row>
    <row r="11" spans="1:4">
      <c r="B11" s="7"/>
      <c r="C11" s="7"/>
      <c r="D11" s="7"/>
    </row>
    <row r="12" spans="1:4" ht="18">
      <c r="A12" s="7" t="s">
        <v>54</v>
      </c>
      <c r="B12" s="26" t="s">
        <v>53</v>
      </c>
      <c r="C12" s="26" t="s">
        <v>24</v>
      </c>
      <c r="D12" s="26" t="s">
        <v>56</v>
      </c>
    </row>
    <row r="13" spans="1:4">
      <c r="A13" s="24" t="s">
        <v>49</v>
      </c>
      <c r="B13" s="7">
        <v>2.6889526063100032E-3</v>
      </c>
      <c r="C13" s="7">
        <v>5.5272124501496686E-5</v>
      </c>
      <c r="D13" s="7">
        <f>B13/B13*100</f>
        <v>100</v>
      </c>
    </row>
    <row r="14" spans="1:4">
      <c r="A14" s="24" t="s">
        <v>50</v>
      </c>
      <c r="B14" s="7">
        <v>1.4292581618655703E-3</v>
      </c>
      <c r="C14" s="7">
        <v>7.483349217019397E-5</v>
      </c>
      <c r="D14" s="7">
        <f>B14/B13*100</f>
        <v>53.152969617672554</v>
      </c>
    </row>
    <row r="15" spans="1:4">
      <c r="A15" s="24" t="s">
        <v>51</v>
      </c>
      <c r="B15" s="7">
        <v>1.8958799725651487E-4</v>
      </c>
      <c r="C15" s="25">
        <v>1.8402248309633523E-5</v>
      </c>
      <c r="D15" s="7">
        <f>B15/B13*100</f>
        <v>7.0506262108011919</v>
      </c>
    </row>
    <row r="16" spans="1:4">
      <c r="A1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3+LA water perm</vt:lpstr>
      <vt:lpstr>4+LA water permeability</vt:lpstr>
      <vt:lpstr>4+LA water perm insertion eff</vt:lpstr>
      <vt:lpstr>5+LA water perm</vt:lpstr>
      <vt:lpstr>3,4 and 5 water permeability</vt:lpstr>
      <vt:lpstr>Ea for 3,4,5 and Blank</vt:lpstr>
      <vt:lpstr>Salt rejection_stopped flow</vt:lpstr>
      <vt:lpstr>'3+LA water perm'!Print_Area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2020-06-12T13:55:38Z</dcterms:modified>
</cp:coreProperties>
</file>